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540" activeTab="0"/>
  </bookViews>
  <sheets>
    <sheet name="dataentry" sheetId="1" r:id="rId1"/>
    <sheet name="hard copy" sheetId="2" r:id="rId2"/>
  </sheets>
  <definedNames>
    <definedName name="aeshnidae_density">'dataentry'!$F$76</definedName>
    <definedName name="amphipoda_density" localSheetId="0">'dataentry'!$F$93</definedName>
    <definedName name="amphipoda_density">#REF!</definedName>
    <definedName name="asellidae_density">'dataentry'!$O$58</definedName>
    <definedName name="athericidae_density">'dataentry'!$O$30</definedName>
    <definedName name="baetidae_density">'dataentry'!$F$10</definedName>
    <definedName name="baetiscidae_density">'dataentry'!$F$11</definedName>
    <definedName name="blephariceridae_density">'dataentry'!$O$31</definedName>
    <definedName name="brachycentridae_density">'dataentry'!$O$10</definedName>
    <definedName name="caenidae_density">'dataentry'!$F$12</definedName>
    <definedName name="calopterygidae_density">'dataentry'!$F$77</definedName>
    <definedName name="cambaridae_density">'dataentry'!$O$63</definedName>
    <definedName name="capniidae_density">'dataentry'!$F$27</definedName>
    <definedName name="ceratopogonidae_density">'dataentry'!$O$32</definedName>
    <definedName name="Chironomidae_density" localSheetId="0">'dataentry'!$O$33</definedName>
    <definedName name="Chironomidae_density">#REF!</definedName>
    <definedName name="chloroperlidae_density">'dataentry'!$F$28</definedName>
    <definedName name="coenagrionidae_density">'dataentry'!$F$78</definedName>
    <definedName name="coleoptera_density">'dataentry'!$F$74</definedName>
    <definedName name="common_names">#REF!</definedName>
    <definedName name="community_sim_index">'dataentry'!#REF!</definedName>
    <definedName name="cordulegastridae_density">'dataentry'!$F$79</definedName>
    <definedName name="corduliidae_density">'dataentry'!$F$80</definedName>
    <definedName name="corydalidae_density">'dataentry'!$F$58</definedName>
    <definedName name="Date_of_Lab_Work" localSheetId="0">'dataentry'!$A$6,#REF!</definedName>
    <definedName name="Date_of_Lab_Work">#REF!,#REF!</definedName>
    <definedName name="decapoda_density" localSheetId="0">'dataentry'!$O$66</definedName>
    <definedName name="decapoda_density">#REF!</definedName>
    <definedName name="diptera_density" localSheetId="0">'dataentry'!$O$41</definedName>
    <definedName name="diptera_density">#REF!</definedName>
    <definedName name="Dystiscidae_density">'dataentry'!$F$69</definedName>
    <definedName name="elmidae_density">'dataentry'!$F$70</definedName>
    <definedName name="empididae_density">'dataentry'!$O$34</definedName>
    <definedName name="ephemerellidae_density">'dataentry'!$F$13</definedName>
    <definedName name="ephemeridae_density">'dataentry'!$F$14</definedName>
    <definedName name="ephemeroptera_density" localSheetId="0">'dataentry'!$F$25</definedName>
    <definedName name="ephemeroptera_density">#REF!</definedName>
    <definedName name="ephemeroptera_richness" localSheetId="0">'dataentry'!$I$25</definedName>
    <definedName name="ephemeroptera_richness">#REF!</definedName>
    <definedName name="EPT_chironomid" localSheetId="0">'dataentry'!$T$68</definedName>
    <definedName name="EPT_chironomid">#REF!</definedName>
    <definedName name="EPT_richness">'dataentry'!$T$56</definedName>
    <definedName name="family_biotic_index" localSheetId="0">'dataentry'!$T$62</definedName>
    <definedName name="family_biotic_index">#REF!</definedName>
    <definedName name="gammaridae_density">'dataentry'!$F$89</definedName>
    <definedName name="gastropoda_density" localSheetId="0">'dataentry'!$O$70</definedName>
    <definedName name="gastropoda_density">#REF!</definedName>
    <definedName name="glossosomatidae_density">'dataentry'!$O$11</definedName>
    <definedName name="gomphidae_density">'dataentry'!$F$81</definedName>
    <definedName name="Gyrinidae_density">'dataentry'!$F$72</definedName>
    <definedName name="helicopsychidae_density">'dataentry'!$O$12</definedName>
    <definedName name="hemiptera_density" localSheetId="0">'dataentry'!$O$72</definedName>
    <definedName name="hemiptera_density">#REF!</definedName>
    <definedName name="heptageniidae_density">'dataentry'!$F$15</definedName>
    <definedName name="hirudinea_density" localSheetId="0">'dataentry'!$O$69</definedName>
    <definedName name="hirudinea_density">#REF!</definedName>
    <definedName name="hydrophilidae_density">'dataentry'!$F$73</definedName>
    <definedName name="hydropsychidae_density">'dataentry'!$O$13</definedName>
    <definedName name="hydroptilidae_density">'dataentry'!$O$14</definedName>
    <definedName name="isopoda_density" localSheetId="0">'dataentry'!$O$61</definedName>
    <definedName name="isopoda_density">#REF!</definedName>
    <definedName name="lab_date" localSheetId="0">'dataentry'!$B$5</definedName>
    <definedName name="lab_date">#REF!</definedName>
    <definedName name="lepidoptera_density" localSheetId="0">'dataentry'!$F$67</definedName>
    <definedName name="lepidoptera_density">#REF!</definedName>
    <definedName name="lepidostomatidae_density">'dataentry'!$O$15</definedName>
    <definedName name="leptoceridae_density">'dataentry'!$O$16</definedName>
    <definedName name="leptophlebiidae_density">'dataentry'!$F$16</definedName>
    <definedName name="lestidae_density">'dataentry'!$F$82</definedName>
    <definedName name="leuctridae_density">'dataentry'!$F$29</definedName>
    <definedName name="libellulidae_density">'dataentry'!$F$83</definedName>
    <definedName name="limnephillidae_density">'dataentry'!$O$17</definedName>
    <definedName name="macomiidae_density">'dataentry'!$F$84</definedName>
    <definedName name="megaloptera_density">'dataentry'!$F$62</definedName>
    <definedName name="metretopodidae_density">'dataentry'!$F$17</definedName>
    <definedName name="molannidae_density">'dataentry'!$O$18</definedName>
    <definedName name="nemouridae_density">'dataentry'!$F$30</definedName>
    <definedName name="num_picked_rep1">'dataentry'!$L$6</definedName>
    <definedName name="num_picked_rep2">'dataentry'!$M$6</definedName>
    <definedName name="num_picked_rep3">'dataentry'!$N$6</definedName>
    <definedName name="num_replicates">'dataentry'!$K$6</definedName>
    <definedName name="num_squares_on_tray">'dataentry'!$Q$5</definedName>
    <definedName name="num_squares_picked">'dataentry'!$Q$7</definedName>
    <definedName name="odonota_density">'dataentry'!$F$87</definedName>
    <definedName name="odontoceridae_density">'dataentry'!$O$19</definedName>
    <definedName name="oligochaeta_density" localSheetId="0">'dataentry'!$O$68</definedName>
    <definedName name="oligochaeta_density">#REF!</definedName>
    <definedName name="oligoneuriidae_density">'dataentry'!$F$18</definedName>
    <definedName name="org_density_sample">'dataentry'!$T$54</definedName>
    <definedName name="organismdensity">#REF!</definedName>
    <definedName name="orgdensitychart">#REF!</definedName>
    <definedName name="other_affinity_groups_density">'dataentry'!$T$51</definedName>
    <definedName name="other_density" localSheetId="0">'dataentry'!$O$75</definedName>
    <definedName name="other_density">#REF!</definedName>
    <definedName name="Other_diptera" localSheetId="0">'dataentry'!$T$38</definedName>
    <definedName name="Other_diptera">#REF!</definedName>
    <definedName name="other_misc_density">'dataentry'!$T$49</definedName>
    <definedName name="pelecypoda_density">'dataentry'!$O$71</definedName>
    <definedName name="peltoperlidae_density">'dataentry'!$F$31</definedName>
    <definedName name="pelycopoda_density">#REF!</definedName>
    <definedName name="percent_amphipoda">'dataentry'!$S$42</definedName>
    <definedName name="percent_chironomidae" localSheetId="0">'dataentry'!$T$61</definedName>
    <definedName name="percent_chironomidae">#REF!</definedName>
    <definedName name="percent_coleoptera">'dataentry'!$S$41</definedName>
    <definedName name="percent_decapoda">'dataentry'!$S$44</definedName>
    <definedName name="percent_diptera" localSheetId="0">'dataentry'!$T$60</definedName>
    <definedName name="percent_diptera">#REF!</definedName>
    <definedName name="percent_dominant_taxa" localSheetId="0">'dataentry'!$T$64</definedName>
    <definedName name="percent_dominant_taxa">#REF!</definedName>
    <definedName name="percent_ephemeroptera">'dataentry'!$S$34</definedName>
    <definedName name="percent_filters" localSheetId="0">'dataentry'!$T$63</definedName>
    <definedName name="percent_filters">#REF!</definedName>
    <definedName name="percent_gastropoda">'dataentry'!$S$45</definedName>
    <definedName name="percent_gatherers">'dataentry'!$T$70</definedName>
    <definedName name="percent_hirudinea">'dataentry'!$S$48</definedName>
    <definedName name="percent_hydropsychidae_of_trichoptera" localSheetId="0">'dataentry'!$T$65</definedName>
    <definedName name="percent_hydropsychidae_of_trichoptera">#REF!</definedName>
    <definedName name="percent_isopoda">'dataentry'!$S$43</definedName>
    <definedName name="percent_megaloptera">'dataentry'!$S$40</definedName>
    <definedName name="percent_model_affinity" localSheetId="0">'dataentry'!$T$67</definedName>
    <definedName name="percent_model_affinity">#REF!</definedName>
    <definedName name="percent_odonota">'dataentry'!$S$39</definedName>
    <definedName name="percent_oligochaeta" localSheetId="0">'dataentry'!$S$47</definedName>
    <definedName name="percent_oligochaeta">#REF!</definedName>
    <definedName name="percent_other_affinity_group">'dataentry'!$S$51</definedName>
    <definedName name="percent_other_affinity_groups">'dataentry'!#REF!</definedName>
    <definedName name="percent_other_diptera">'dataentry'!$S$38</definedName>
    <definedName name="percent_other_misc">'dataentry'!$S$49</definedName>
    <definedName name="percent_pelecypoda">'dataentry'!$S$46</definedName>
    <definedName name="percent_plecoptera">'dataentry'!$S$35</definedName>
    <definedName name="percent_predators" localSheetId="0">'dataentry'!$T$57</definedName>
    <definedName name="percent_predators">#REF!</definedName>
    <definedName name="percent_scrapers">'dataentry'!$T$71</definedName>
    <definedName name="percent_shredders" localSheetId="0">'dataentry'!$T$58</definedName>
    <definedName name="percent_shredders">#REF!</definedName>
    <definedName name="percent_trichoptera" localSheetId="0">'dataentry'!$T$66</definedName>
    <definedName name="percent_trichoptera">#REF!</definedName>
    <definedName name="perlidae_density">'dataentry'!$F$32</definedName>
    <definedName name="perlodidae_density">'dataentry'!$F$33</definedName>
    <definedName name="philopotamidae_density">'dataentry'!$O$20</definedName>
    <definedName name="phryganeidae_density">'dataentry'!$O$21</definedName>
    <definedName name="plecoptera_density" localSheetId="0">'dataentry'!$F$38</definedName>
    <definedName name="plecoptera_density">#REF!</definedName>
    <definedName name="plecoptera_richness">'dataentry'!$I$38</definedName>
    <definedName name="polycentropodidae_density">'dataentry'!$O$22</definedName>
    <definedName name="polymitarcylidae_density">'dataentry'!$F$19</definedName>
    <definedName name="potomanthidae_density">'dataentry'!$F$20</definedName>
    <definedName name="psephenidae_density">'dataentry'!$F$71</definedName>
    <definedName name="psychomyiidae_density">'dataentry'!$O$23</definedName>
    <definedName name="pteronarcyidae_density">'dataentry'!$F$34</definedName>
    <definedName name="pyralidae_density">'dataentry'!$F$64</definedName>
    <definedName name="ratio_scrapers_filterers">'dataentry'!$T$69</definedName>
    <definedName name="rhyacophilidae_density">'dataentry'!$O$24</definedName>
    <definedName name="river" localSheetId="0">'dataentry'!$K$3</definedName>
    <definedName name="river">#REF!</definedName>
    <definedName name="rivname">#REF!</definedName>
    <definedName name="sample_date" localSheetId="0">'dataentry'!$B$4</definedName>
    <definedName name="sample_date">#REF!</definedName>
    <definedName name="sericostomidae_density">'dataentry'!$O$25</definedName>
    <definedName name="sialidae_density">'dataentry'!$F$59</definedName>
    <definedName name="simuliidae_density">'dataentry'!$O$35</definedName>
    <definedName name="siphlonuridae_density">'dataentry'!$F$21</definedName>
    <definedName name="site_num" localSheetId="0">'dataentry'!$B$3</definedName>
    <definedName name="site_num">#REF!</definedName>
    <definedName name="tabanidae_density">'dataentry'!$O$36</definedName>
    <definedName name="taeniopterygidae_density">'dataentry'!$F$35</definedName>
    <definedName name="talitridae_density">'dataentry'!$F$90</definedName>
    <definedName name="tipulidae_density">'dataentry'!$O$37</definedName>
    <definedName name="total_density" localSheetId="0">'dataentry'!$O$77</definedName>
    <definedName name="total_density">#REF!</definedName>
    <definedName name="total_richness" localSheetId="0">'dataentry'!$R$77</definedName>
    <definedName name="total_richness">#REF!</definedName>
    <definedName name="trichoptera_density">'dataentry'!$O$28</definedName>
    <definedName name="trichoptera_richness">'dataentry'!$R$28</definedName>
    <definedName name="tricorythidae_density">'dataentry'!$F$22</definedName>
  </definedNames>
  <calcPr fullCalcOnLoad="1"/>
</workbook>
</file>

<file path=xl/sharedStrings.xml><?xml version="1.0" encoding="utf-8"?>
<sst xmlns="http://schemas.openxmlformats.org/spreadsheetml/2006/main" count="624" uniqueCount="216">
  <si>
    <t>STREAMS AND RIVERS AQUATIC MACROINVERTEBRATE LAB SHEET</t>
  </si>
  <si>
    <t>Replicate #</t>
  </si>
  <si>
    <t>Replicate#</t>
  </si>
  <si>
    <t>T</t>
  </si>
  <si>
    <t>D</t>
  </si>
  <si>
    <t>FFG</t>
  </si>
  <si>
    <t>Families in Major Group</t>
  </si>
  <si>
    <t>EPHEMEROPTERA (Mayflies)</t>
  </si>
  <si>
    <t>TRICHOPTERA (Caddisflies)</t>
  </si>
  <si>
    <t>Baetidae</t>
  </si>
  <si>
    <t>GC/SC</t>
  </si>
  <si>
    <t>Baetiscidae</t>
  </si>
  <si>
    <t>GC</t>
  </si>
  <si>
    <t>Caenidae</t>
  </si>
  <si>
    <t>Ephemerellidae</t>
  </si>
  <si>
    <t>Ephemeridae</t>
  </si>
  <si>
    <t>Heptageniidae</t>
  </si>
  <si>
    <t>SC/GC</t>
  </si>
  <si>
    <t>Metretopodidae</t>
  </si>
  <si>
    <t>Oligoneuriidae</t>
  </si>
  <si>
    <t>FC</t>
  </si>
  <si>
    <t>Polymitarcylidae</t>
  </si>
  <si>
    <t>Potomanthidae</t>
  </si>
  <si>
    <t>Siphlonuridae</t>
  </si>
  <si>
    <t>Tricorythidae</t>
  </si>
  <si>
    <t>Brachycentridae</t>
  </si>
  <si>
    <t>Glossosomatidae</t>
  </si>
  <si>
    <t>SC</t>
  </si>
  <si>
    <t>Helicopsychidae</t>
  </si>
  <si>
    <t>Hydropsychidae</t>
  </si>
  <si>
    <t>Hydroptilidae</t>
  </si>
  <si>
    <t>GC/SC/SH</t>
  </si>
  <si>
    <t>Lepidostomatidae</t>
  </si>
  <si>
    <t>SH</t>
  </si>
  <si>
    <t>Leptoceridae</t>
  </si>
  <si>
    <t>GC/SH/PR</t>
  </si>
  <si>
    <t>Limnephillidae</t>
  </si>
  <si>
    <t>SH/SC/GC</t>
  </si>
  <si>
    <t>Molannidae</t>
  </si>
  <si>
    <t>Odontoceridae</t>
  </si>
  <si>
    <t>Philopotamidae</t>
  </si>
  <si>
    <t>Phryganeidae</t>
  </si>
  <si>
    <t>Polycentropodidae</t>
  </si>
  <si>
    <t>FC/PR</t>
  </si>
  <si>
    <t>Psychomyiidae</t>
  </si>
  <si>
    <t>Rhyacophilidae</t>
  </si>
  <si>
    <t>PR</t>
  </si>
  <si>
    <t>Sericostomidae</t>
  </si>
  <si>
    <t>Subtotal Ephemeroptera</t>
  </si>
  <si>
    <t>Subtotal Trichoptera</t>
  </si>
  <si>
    <t>PLECOPTERA (Stoneflies)</t>
  </si>
  <si>
    <t>DIPTERA (True Flies)</t>
  </si>
  <si>
    <t>Capniidae</t>
  </si>
  <si>
    <t>Chloroperlidae</t>
  </si>
  <si>
    <t>GC/PR</t>
  </si>
  <si>
    <t>Leuctridae</t>
  </si>
  <si>
    <t>Nemouridae</t>
  </si>
  <si>
    <t>Peltoperlidae</t>
  </si>
  <si>
    <t>Perlidae</t>
  </si>
  <si>
    <t>Perlodidae</t>
  </si>
  <si>
    <t>Pteronarcyidae</t>
  </si>
  <si>
    <t>Taeniopterygidae</t>
  </si>
  <si>
    <t>Subtotal Plecoptera</t>
  </si>
  <si>
    <t>Athericidae</t>
  </si>
  <si>
    <t>Blephariceridae</t>
  </si>
  <si>
    <t>Ceratopogonidae</t>
  </si>
  <si>
    <t>Chironomidae</t>
  </si>
  <si>
    <t>ALL</t>
  </si>
  <si>
    <t>Empididae</t>
  </si>
  <si>
    <t>Simuliidae</t>
  </si>
  <si>
    <t>Tabanidae</t>
  </si>
  <si>
    <t>Tipulidae</t>
  </si>
  <si>
    <t>Subtotal Diptera</t>
  </si>
  <si>
    <t>Key to Column Headings:</t>
  </si>
  <si>
    <t>T = Family Pollution Tolerance Value</t>
  </si>
  <si>
    <t>D = Density (# of individuals in Family)</t>
  </si>
  <si>
    <t>FFG = Functional Feeding Groups (Use the following codes):</t>
  </si>
  <si>
    <t>SC = Scraper</t>
  </si>
  <si>
    <t>FC = Filtering Collector</t>
  </si>
  <si>
    <t>GC = Gathering Collector</t>
  </si>
  <si>
    <t>PR = Predator</t>
  </si>
  <si>
    <t>SH = Shredder</t>
  </si>
  <si>
    <t>available, these designations should be adjusted</t>
  </si>
  <si>
    <t>to reflect the FFG of the dominant taxon within</t>
  </si>
  <si>
    <t>the familiy or allocated among the FFG of the taxa</t>
  </si>
  <si>
    <t>actually present.</t>
  </si>
  <si>
    <t>Page 1 of 2</t>
  </si>
  <si>
    <r>
      <t xml:space="preserve">* </t>
    </r>
    <r>
      <rPr>
        <b/>
        <sz val="10"/>
        <rFont val="Arial"/>
        <family val="2"/>
      </rPr>
      <t>Note</t>
    </r>
    <r>
      <rPr>
        <sz val="10"/>
        <rFont val="Arial"/>
        <family val="0"/>
      </rPr>
      <t xml:space="preserve">:  these are designatons generalized for the </t>
    </r>
  </si>
  <si>
    <t>Continued</t>
  </si>
  <si>
    <t>ISOPODA (Sowbugs)</t>
  </si>
  <si>
    <t>Corydalidae</t>
  </si>
  <si>
    <t>Sialidae</t>
  </si>
  <si>
    <t>Subtotal Megaloptera</t>
  </si>
  <si>
    <t>Asellidae</t>
  </si>
  <si>
    <t>SH/GC</t>
  </si>
  <si>
    <t>Subtotal Isopoda</t>
  </si>
  <si>
    <t>LEPIDOPTERA (Moths)</t>
  </si>
  <si>
    <t>DECOPODA (Crayfish)</t>
  </si>
  <si>
    <t>Pyralidae</t>
  </si>
  <si>
    <t>Cambaridae</t>
  </si>
  <si>
    <t>Subtotal Lepidoptera</t>
  </si>
  <si>
    <t>Subtotal Decapoda</t>
  </si>
  <si>
    <t>COLEOPTERA</t>
  </si>
  <si>
    <t xml:space="preserve"> (Beetles)</t>
  </si>
  <si>
    <t>OTHER (non-families w/tolerance values)</t>
  </si>
  <si>
    <t>Elmidae</t>
  </si>
  <si>
    <t>Psephenidae</t>
  </si>
  <si>
    <t>Subtotal Coleoptera</t>
  </si>
  <si>
    <t>Aeshnidae</t>
  </si>
  <si>
    <t>Calopterygidae</t>
  </si>
  <si>
    <t>Coenagrionidae</t>
  </si>
  <si>
    <t>Cordulegastridae</t>
  </si>
  <si>
    <t>Corduliidae</t>
  </si>
  <si>
    <t>Gomphidae</t>
  </si>
  <si>
    <t>Lestidae</t>
  </si>
  <si>
    <t>Libellulidae</t>
  </si>
  <si>
    <t>Macomiidae</t>
  </si>
  <si>
    <t>Subtotal Odonata</t>
  </si>
  <si>
    <t>AMPHIPODA (Scuds)</t>
  </si>
  <si>
    <t>ODONATA (Dragonflies, damselflies)</t>
  </si>
  <si>
    <t>Gammaridae</t>
  </si>
  <si>
    <t>Talitridae</t>
  </si>
  <si>
    <t>Subtotal Amphipoda</t>
  </si>
  <si>
    <t>Class Oligochaeta</t>
  </si>
  <si>
    <t>Class Gastropoda</t>
  </si>
  <si>
    <t>Class Hirudinea</t>
  </si>
  <si>
    <t>Class Pelecypoda</t>
  </si>
  <si>
    <t>Unidentified</t>
  </si>
  <si>
    <t>TOTALS</t>
  </si>
  <si>
    <t>Ave. D = Average Density (average of D's for the 3 replicates)</t>
  </si>
  <si>
    <t>Taxa Richness</t>
  </si>
  <si>
    <t>% Predators</t>
  </si>
  <si>
    <t>% Shredders</t>
  </si>
  <si>
    <t>EPT Richness</t>
  </si>
  <si>
    <t>% Oligochaeta</t>
  </si>
  <si>
    <t>Family Biotic Index</t>
  </si>
  <si>
    <t>% Diptera</t>
  </si>
  <si>
    <t>% Chironomidae</t>
  </si>
  <si>
    <t>Page 2 of 2</t>
  </si>
  <si>
    <t>MEGALOPTERA (Dobsonflies, alderflies, fishflies)</t>
  </si>
  <si>
    <t xml:space="preserve">families.  When genus/species level information is </t>
  </si>
  <si>
    <t>% Filters</t>
  </si>
  <si>
    <t>% Contrib. Dom. Taxa</t>
  </si>
  <si>
    <t>Order Hemiptera</t>
  </si>
  <si>
    <t>Decline</t>
  </si>
  <si>
    <t>Rise</t>
  </si>
  <si>
    <t>% Trichoptera</t>
  </si>
  <si>
    <t xml:space="preserve">River/Stream:  </t>
  </si>
  <si>
    <t>Sampler Name/s:</t>
  </si>
  <si>
    <t>Site # :</t>
  </si>
  <si>
    <t>Date of Lab Work:</t>
  </si>
  <si>
    <t xml:space="preserve"> # of replicates:</t>
  </si>
  <si>
    <t>Level II - Identify to Family (primarily)</t>
  </si>
  <si>
    <t>Class: GASTROPODA</t>
  </si>
  <si>
    <t>Class: PELECYPODA</t>
  </si>
  <si>
    <t>Class: HIRUDINEA</t>
  </si>
  <si>
    <t>EPHEMEROPTERA</t>
  </si>
  <si>
    <t xml:space="preserve"> PLECOPTERA</t>
  </si>
  <si>
    <t>TRICHOPTERA</t>
  </si>
  <si>
    <t>DIPTERA, Family: CHIRONOMIDAE</t>
  </si>
  <si>
    <t>ODONATA</t>
  </si>
  <si>
    <t xml:space="preserve"> MEGALOPTERA</t>
  </si>
  <si>
    <t xml:space="preserve"> AMPHIPODA</t>
  </si>
  <si>
    <t>ISOPODA</t>
  </si>
  <si>
    <t>DECAPODA</t>
  </si>
  <si>
    <t>other diptera</t>
  </si>
  <si>
    <t>Summary totals (For graphs)</t>
  </si>
  <si>
    <t>% Hydropsych. of Trich.</t>
  </si>
  <si>
    <t>METRICS  Summary</t>
  </si>
  <si>
    <t>Expected response to impact</t>
  </si>
  <si>
    <t>% model affinity</t>
  </si>
  <si>
    <t>EPT/Chironomid</t>
  </si>
  <si>
    <t>% of total</t>
  </si>
  <si>
    <t>OTHER</t>
  </si>
  <si>
    <t>Dystiscidae</t>
  </si>
  <si>
    <t>Gyrinidae</t>
  </si>
  <si>
    <t>Hydrophilidae</t>
  </si>
  <si>
    <t xml:space="preserve">Ave. # Organisms  </t>
  </si>
  <si>
    <t>Richness</t>
  </si>
  <si>
    <t>TOTAL - All Organisms</t>
  </si>
  <si>
    <t>Sample Date:</t>
  </si>
  <si>
    <t>Total Predators</t>
  </si>
  <si>
    <t>Total Shredders</t>
  </si>
  <si>
    <t>Total Scrapers</t>
  </si>
  <si>
    <t>Total Gatherers</t>
  </si>
  <si>
    <t>FC/GC</t>
  </si>
  <si>
    <t>Scrapers/Filterers</t>
  </si>
  <si>
    <t>Total Filterers</t>
  </si>
  <si>
    <t>Org. Density / sample</t>
  </si>
  <si>
    <t>Other affinity groups (for % model affinity)</t>
  </si>
  <si>
    <t>Subtotal Other non-family</t>
  </si>
  <si>
    <t xml:space="preserve"> OTHER misc. (lepid, hemip, etc.)</t>
  </si>
  <si>
    <t>GC/PR/SH</t>
  </si>
  <si>
    <t>Density for each organism</t>
  </si>
  <si>
    <t>Total all Feeding Groups</t>
  </si>
  <si>
    <t>Functional Feeding Group Totals:</t>
  </si>
  <si>
    <t>Stream:</t>
  </si>
  <si>
    <t>Site#:</t>
  </si>
  <si>
    <t>Date:</t>
  </si>
  <si>
    <t xml:space="preserve"> average # of squares picked</t>
  </si>
  <si>
    <t># squares on tray:</t>
  </si>
  <si>
    <t>&lt;- # squares picked each replicate</t>
  </si>
  <si>
    <t>Avg. D</t>
  </si>
  <si>
    <t>T x Avg. D</t>
  </si>
  <si>
    <t>T X Avg. D</t>
  </si>
  <si>
    <t>STREAMS AND RIVERS AQUATIC MACROINVERTEBRATE DATA ENTRY SHEET</t>
  </si>
  <si>
    <t>% Gatherers</t>
  </si>
  <si>
    <t>% Scrapers</t>
  </si>
  <si>
    <t>Leptophlebiidae</t>
  </si>
  <si>
    <t>Summary totals</t>
  </si>
  <si>
    <t xml:space="preserve"> All Organisms</t>
  </si>
  <si>
    <t>TOTAL</t>
  </si>
  <si>
    <t>richness</t>
  </si>
  <si>
    <t>Tx av.D</t>
  </si>
  <si>
    <t xml:space="preserve">   Density</t>
  </si>
  <si>
    <t>Isonychiidae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</si>
</sst>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mm/dd/yy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 horizontal="center" vertical="justify"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35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0" fillId="0" borderId="10" xfId="58" applyFont="1" applyBorder="1">
      <alignment/>
      <protection/>
    </xf>
    <xf numFmtId="0" fontId="9" fillId="0" borderId="10" xfId="58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1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8" fontId="0" fillId="0" borderId="0" xfId="0" applyNumberFormat="1" applyAlignment="1">
      <alignment/>
    </xf>
    <xf numFmtId="0" fontId="3" fillId="36" borderId="12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2" fillId="37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37" borderId="14" xfId="0" applyFont="1" applyFill="1" applyBorder="1" applyAlignment="1">
      <alignment/>
    </xf>
    <xf numFmtId="0" fontId="0" fillId="35" borderId="10" xfId="0" applyFill="1" applyBorder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7" fontId="0" fillId="0" borderId="16" xfId="0" applyNumberFormat="1" applyBorder="1" applyAlignment="1">
      <alignment/>
    </xf>
    <xf numFmtId="2" fontId="0" fillId="0" borderId="16" xfId="57" applyNumberFormat="1" applyFont="1" applyBorder="1">
      <alignment/>
      <protection/>
    </xf>
    <xf numFmtId="0" fontId="0" fillId="0" borderId="10" xfId="0" applyFill="1" applyBorder="1" applyAlignment="1">
      <alignment/>
    </xf>
    <xf numFmtId="167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58" applyNumberFormat="1" applyFont="1" applyFill="1" applyBorder="1">
      <alignment/>
      <protection/>
    </xf>
    <xf numFmtId="1" fontId="0" fillId="0" borderId="10" xfId="58" applyNumberFormat="1" applyFont="1" applyBorder="1">
      <alignment/>
      <protection/>
    </xf>
    <xf numFmtId="1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167" fontId="0" fillId="0" borderId="16" xfId="57" applyNumberFormat="1" applyFont="1" applyBorder="1">
      <alignment/>
      <protection/>
    </xf>
    <xf numFmtId="1" fontId="0" fillId="37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7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20" xfId="0" applyFill="1" applyBorder="1" applyAlignment="1">
      <alignment/>
    </xf>
    <xf numFmtId="167" fontId="0" fillId="0" borderId="10" xfId="57" applyNumberFormat="1" applyFont="1" applyBorder="1">
      <alignment/>
      <protection/>
    </xf>
    <xf numFmtId="1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0" fontId="0" fillId="36" borderId="21" xfId="0" applyFill="1" applyBorder="1" applyAlignment="1">
      <alignment horizontal="center"/>
    </xf>
    <xf numFmtId="167" fontId="0" fillId="36" borderId="22" xfId="0" applyNumberFormat="1" applyFill="1" applyBorder="1" applyAlignment="1">
      <alignment horizontal="center"/>
    </xf>
    <xf numFmtId="167" fontId="0" fillId="36" borderId="23" xfId="0" applyNumberForma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167" fontId="0" fillId="36" borderId="21" xfId="0" applyNumberForma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3" fillId="36" borderId="21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167" fontId="0" fillId="34" borderId="26" xfId="0" applyNumberFormat="1" applyFill="1" applyBorder="1" applyAlignment="1">
      <alignment horizontal="center"/>
    </xf>
    <xf numFmtId="0" fontId="0" fillId="34" borderId="27" xfId="0" applyFill="1" applyBorder="1" applyAlignment="1">
      <alignment/>
    </xf>
    <xf numFmtId="167" fontId="0" fillId="34" borderId="28" xfId="0" applyNumberFormat="1" applyFill="1" applyBorder="1" applyAlignment="1">
      <alignment/>
    </xf>
    <xf numFmtId="0" fontId="0" fillId="0" borderId="29" xfId="0" applyBorder="1" applyAlignment="1">
      <alignment/>
    </xf>
    <xf numFmtId="16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3" fillId="36" borderId="32" xfId="0" applyFont="1" applyFill="1" applyBorder="1" applyAlignment="1">
      <alignment/>
    </xf>
    <xf numFmtId="167" fontId="0" fillId="36" borderId="33" xfId="0" applyNumberFormat="1" applyFill="1" applyBorder="1" applyAlignment="1">
      <alignment/>
    </xf>
    <xf numFmtId="167" fontId="0" fillId="36" borderId="24" xfId="0" applyNumberFormat="1" applyFill="1" applyBorder="1" applyAlignment="1">
      <alignment/>
    </xf>
    <xf numFmtId="167" fontId="0" fillId="34" borderId="27" xfId="0" applyNumberFormat="1" applyFill="1" applyBorder="1" applyAlignment="1">
      <alignment horizontal="center"/>
    </xf>
    <xf numFmtId="0" fontId="0" fillId="34" borderId="34" xfId="0" applyFill="1" applyBorder="1" applyAlignment="1">
      <alignment/>
    </xf>
    <xf numFmtId="167" fontId="0" fillId="34" borderId="35" xfId="0" applyNumberFormat="1" applyFill="1" applyBorder="1" applyAlignment="1">
      <alignment/>
    </xf>
    <xf numFmtId="0" fontId="0" fillId="33" borderId="11" xfId="0" applyFill="1" applyBorder="1" applyAlignment="1">
      <alignment vertical="justify"/>
    </xf>
    <xf numFmtId="0" fontId="0" fillId="33" borderId="11" xfId="0" applyFill="1" applyBorder="1" applyAlignment="1">
      <alignment horizontal="center" vertical="justify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36" xfId="0" applyBorder="1" applyAlignment="1">
      <alignment/>
    </xf>
    <xf numFmtId="0" fontId="0" fillId="34" borderId="26" xfId="0" applyFill="1" applyBorder="1" applyAlignment="1">
      <alignment/>
    </xf>
    <xf numFmtId="167" fontId="0" fillId="36" borderId="33" xfId="0" applyNumberFormat="1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0" borderId="38" xfId="0" applyBorder="1" applyAlignment="1">
      <alignment/>
    </xf>
    <xf numFmtId="0" fontId="10" fillId="36" borderId="22" xfId="0" applyFon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33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37" borderId="39" xfId="0" applyFill="1" applyBorder="1" applyAlignment="1">
      <alignment/>
    </xf>
    <xf numFmtId="0" fontId="3" fillId="36" borderId="40" xfId="0" applyFont="1" applyFill="1" applyBorder="1" applyAlignment="1">
      <alignment/>
    </xf>
    <xf numFmtId="0" fontId="0" fillId="36" borderId="40" xfId="0" applyFill="1" applyBorder="1" applyAlignment="1">
      <alignment/>
    </xf>
    <xf numFmtId="0" fontId="2" fillId="37" borderId="41" xfId="0" applyFont="1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9" xfId="0" applyFill="1" applyBorder="1" applyAlignment="1">
      <alignment/>
    </xf>
    <xf numFmtId="167" fontId="0" fillId="36" borderId="11" xfId="0" applyNumberFormat="1" applyFill="1" applyBorder="1" applyAlignment="1">
      <alignment horizontal="center"/>
    </xf>
    <xf numFmtId="167" fontId="0" fillId="36" borderId="43" xfId="0" applyNumberFormat="1" applyFill="1" applyBorder="1" applyAlignment="1">
      <alignment/>
    </xf>
    <xf numFmtId="0" fontId="2" fillId="37" borderId="44" xfId="0" applyFont="1" applyFill="1" applyBorder="1" applyAlignment="1">
      <alignment/>
    </xf>
    <xf numFmtId="1" fontId="2" fillId="37" borderId="22" xfId="0" applyNumberFormat="1" applyFont="1" applyFill="1" applyBorder="1" applyAlignment="1">
      <alignment/>
    </xf>
    <xf numFmtId="1" fontId="2" fillId="37" borderId="33" xfId="0" applyNumberFormat="1" applyFont="1" applyFill="1" applyBorder="1" applyAlignment="1">
      <alignment/>
    </xf>
    <xf numFmtId="1" fontId="0" fillId="37" borderId="22" xfId="0" applyNumberFormat="1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28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29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4" fontId="0" fillId="35" borderId="13" xfId="0" applyNumberFormat="1" applyFill="1" applyBorder="1" applyAlignment="1">
      <alignment horizontal="center"/>
    </xf>
    <xf numFmtId="14" fontId="0" fillId="35" borderId="14" xfId="0" applyNumberFormat="1" applyFill="1" applyBorder="1" applyAlignment="1">
      <alignment horizontal="center"/>
    </xf>
    <xf numFmtId="14" fontId="0" fillId="35" borderId="15" xfId="0" applyNumberFormat="1" applyFill="1" applyBorder="1" applyAlignment="1">
      <alignment horizontal="center"/>
    </xf>
    <xf numFmtId="0" fontId="0" fillId="37" borderId="42" xfId="0" applyFill="1" applyBorder="1" applyAlignment="1">
      <alignment/>
    </xf>
    <xf numFmtId="0" fontId="2" fillId="38" borderId="12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5" borderId="15" xfId="0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35" borderId="17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milevel1template1" xfId="57"/>
    <cellStyle name="Normal_buglevel1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zoomScale="70" zoomScaleNormal="70" zoomScalePageLayoutView="0" workbookViewId="0" topLeftCell="A1">
      <selection activeCell="K24" sqref="K24"/>
    </sheetView>
  </sheetViews>
  <sheetFormatPr defaultColWidth="9.140625" defaultRowHeight="12.75"/>
  <cols>
    <col min="1" max="1" width="14.7109375" style="0" customWidth="1"/>
    <col min="2" max="2" width="3.57421875" style="0" customWidth="1"/>
    <col min="3" max="3" width="4.00390625" style="0" customWidth="1"/>
    <col min="4" max="4" width="4.28125" style="0" customWidth="1"/>
    <col min="5" max="5" width="3.7109375" style="0" customWidth="1"/>
    <col min="6" max="7" width="4.8515625" style="0" customWidth="1"/>
    <col min="8" max="8" width="7.7109375" style="0" customWidth="1"/>
    <col min="9" max="9" width="9.00390625" style="0" customWidth="1"/>
    <col min="10" max="10" width="16.7109375" style="0" customWidth="1"/>
    <col min="11" max="11" width="4.421875" style="0" customWidth="1"/>
    <col min="12" max="12" width="3.57421875" style="0" customWidth="1"/>
    <col min="13" max="14" width="3.7109375" style="0" customWidth="1"/>
    <col min="15" max="15" width="12.28125" style="0" customWidth="1"/>
    <col min="16" max="16" width="5.140625" style="0" customWidth="1"/>
    <col min="17" max="17" width="9.28125" style="0" customWidth="1"/>
    <col min="18" max="18" width="8.00390625" style="0" customWidth="1"/>
    <col min="19" max="19" width="19.57421875" style="0" customWidth="1"/>
    <col min="20" max="20" width="10.00390625" style="0" customWidth="1"/>
    <col min="22" max="22" width="15.57421875" style="0" customWidth="1"/>
  </cols>
  <sheetData>
    <row r="1" spans="1:18" ht="12.75">
      <c r="A1" s="33" t="s">
        <v>205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  <c r="P1" s="32"/>
      <c r="Q1" s="32"/>
      <c r="R1" s="32"/>
    </row>
    <row r="2" spans="7:11" ht="12.75">
      <c r="G2" s="166" t="s">
        <v>152</v>
      </c>
      <c r="H2" s="166"/>
      <c r="I2" s="166"/>
      <c r="J2" s="166"/>
      <c r="K2" s="166"/>
    </row>
    <row r="3" spans="1:18" ht="12.75">
      <c r="A3" s="29" t="s">
        <v>149</v>
      </c>
      <c r="B3" s="167"/>
      <c r="C3" s="168"/>
      <c r="D3" s="168"/>
      <c r="E3" s="168"/>
      <c r="F3" s="168"/>
      <c r="G3" s="175"/>
      <c r="J3" s="29" t="s">
        <v>147</v>
      </c>
      <c r="K3" s="167"/>
      <c r="L3" s="168"/>
      <c r="M3" s="168"/>
      <c r="N3" s="168"/>
      <c r="O3" s="168"/>
      <c r="P3" s="168"/>
      <c r="Q3" s="168"/>
      <c r="R3" s="147"/>
    </row>
    <row r="4" spans="1:18" ht="12.75">
      <c r="A4" s="29" t="s">
        <v>180</v>
      </c>
      <c r="B4" s="169"/>
      <c r="C4" s="170"/>
      <c r="D4" s="170"/>
      <c r="E4" s="170"/>
      <c r="F4" s="170"/>
      <c r="G4" s="171"/>
      <c r="J4" s="29" t="s">
        <v>148</v>
      </c>
      <c r="K4" s="167"/>
      <c r="L4" s="168"/>
      <c r="M4" s="168"/>
      <c r="N4" s="168"/>
      <c r="O4" s="168"/>
      <c r="P4" s="168"/>
      <c r="Q4" s="168"/>
      <c r="R4" s="147"/>
    </row>
    <row r="5" spans="1:17" ht="13.5" thickBot="1">
      <c r="A5" s="78" t="s">
        <v>150</v>
      </c>
      <c r="B5" s="167"/>
      <c r="C5" s="168"/>
      <c r="D5" s="168"/>
      <c r="E5" s="168"/>
      <c r="F5" s="168"/>
      <c r="G5" s="175"/>
      <c r="J5" t="s">
        <v>177</v>
      </c>
      <c r="K5" s="89" t="e">
        <f>O77</f>
        <v>#DIV/0!</v>
      </c>
      <c r="O5" s="74" t="s">
        <v>200</v>
      </c>
      <c r="Q5" s="31">
        <v>15</v>
      </c>
    </row>
    <row r="6" spans="3:15" ht="13.5" thickBot="1">
      <c r="C6" s="28"/>
      <c r="J6" s="30" t="s">
        <v>151</v>
      </c>
      <c r="K6" s="148"/>
      <c r="L6" s="147"/>
      <c r="M6" s="31"/>
      <c r="N6" s="31"/>
      <c r="O6" t="s">
        <v>201</v>
      </c>
    </row>
    <row r="7" spans="1:18" ht="12.75">
      <c r="A7" s="4" t="s">
        <v>1</v>
      </c>
      <c r="B7" s="4"/>
      <c r="C7" s="5">
        <v>1</v>
      </c>
      <c r="D7" s="5">
        <v>2</v>
      </c>
      <c r="E7" s="5">
        <v>3</v>
      </c>
      <c r="J7" s="4" t="s">
        <v>2</v>
      </c>
      <c r="K7" s="86"/>
      <c r="L7" s="5">
        <v>1</v>
      </c>
      <c r="M7" s="5">
        <v>2</v>
      </c>
      <c r="N7" s="5">
        <v>3</v>
      </c>
      <c r="Q7" s="69" t="e">
        <f>(num_picked_rep1+num_picked_rep2+num_picked_rep3)/num_replicates</f>
        <v>#DIV/0!</v>
      </c>
      <c r="R7" s="74" t="s">
        <v>199</v>
      </c>
    </row>
    <row r="8" spans="1:18" ht="39" thickBot="1">
      <c r="A8" s="116" t="s">
        <v>6</v>
      </c>
      <c r="B8" s="5" t="s">
        <v>3</v>
      </c>
      <c r="C8" s="5" t="s">
        <v>4</v>
      </c>
      <c r="D8" s="5" t="s">
        <v>4</v>
      </c>
      <c r="E8" s="5" t="s">
        <v>4</v>
      </c>
      <c r="F8" s="117" t="s">
        <v>202</v>
      </c>
      <c r="G8" s="117" t="s">
        <v>203</v>
      </c>
      <c r="H8" s="5" t="s">
        <v>5</v>
      </c>
      <c r="I8" s="5" t="s">
        <v>178</v>
      </c>
      <c r="J8" s="116" t="s">
        <v>6</v>
      </c>
      <c r="K8" s="5" t="s">
        <v>3</v>
      </c>
      <c r="L8" s="5" t="s">
        <v>4</v>
      </c>
      <c r="M8" s="5" t="s">
        <v>4</v>
      </c>
      <c r="N8" s="5" t="s">
        <v>4</v>
      </c>
      <c r="O8" s="117" t="s">
        <v>202</v>
      </c>
      <c r="P8" s="117" t="s">
        <v>203</v>
      </c>
      <c r="Q8" s="5" t="s">
        <v>5</v>
      </c>
      <c r="R8" s="5" t="s">
        <v>178</v>
      </c>
    </row>
    <row r="9" spans="1:18" ht="12.75">
      <c r="A9" s="102" t="s">
        <v>7</v>
      </c>
      <c r="B9" s="122"/>
      <c r="C9" s="122"/>
      <c r="D9" s="122"/>
      <c r="E9" s="122"/>
      <c r="F9" s="122"/>
      <c r="G9" s="122"/>
      <c r="H9" s="105"/>
      <c r="I9" s="120"/>
      <c r="J9" s="102" t="s">
        <v>8</v>
      </c>
      <c r="K9" s="118"/>
      <c r="L9" s="118"/>
      <c r="M9" s="118"/>
      <c r="N9" s="118"/>
      <c r="O9" s="119"/>
      <c r="P9" s="119"/>
      <c r="Q9" s="114"/>
      <c r="R9" s="120"/>
    </row>
    <row r="10" spans="1:18" ht="12.75">
      <c r="A10" s="107" t="s">
        <v>9</v>
      </c>
      <c r="B10" s="23">
        <v>4</v>
      </c>
      <c r="C10" s="31"/>
      <c r="D10" s="31"/>
      <c r="E10" s="31"/>
      <c r="F10" s="91" t="e">
        <f aca="true" t="shared" si="0" ref="F10:F24">(C10+D10+E10)/$K$6</f>
        <v>#DIV/0!</v>
      </c>
      <c r="G10" s="91" t="e">
        <f aca="true" t="shared" si="1" ref="G10:G24">B10*F10</f>
        <v>#DIV/0!</v>
      </c>
      <c r="H10" s="23" t="s">
        <v>10</v>
      </c>
      <c r="I10" s="108" t="e">
        <f>SUM((IF(C10&gt;0,1,0))+(IF(D10&gt;0,1,0))+(IF(E10&gt;0,1,0)))/num_replicates</f>
        <v>#DIV/0!</v>
      </c>
      <c r="J10" s="107" t="s">
        <v>25</v>
      </c>
      <c r="K10" s="23">
        <v>2</v>
      </c>
      <c r="L10" s="31"/>
      <c r="M10" s="31"/>
      <c r="N10" s="31"/>
      <c r="O10" s="91" t="e">
        <f aca="true" t="shared" si="2" ref="O10:O27">(L10+M10+N10)/$K$6</f>
        <v>#DIV/0!</v>
      </c>
      <c r="P10" s="91" t="e">
        <f aca="true" t="shared" si="3" ref="P10:P27">K10*O10</f>
        <v>#DIV/0!</v>
      </c>
      <c r="Q10" s="23" t="s">
        <v>185</v>
      </c>
      <c r="R10" s="108" t="e">
        <f>SUM((IF(L10&gt;0,1,0))+(IF(M10&gt;0,1,0))+(IF(N10&gt;0,1,0)))/num_replicates</f>
        <v>#DIV/0!</v>
      </c>
    </row>
    <row r="11" spans="1:18" ht="12.75">
      <c r="A11" s="107" t="s">
        <v>11</v>
      </c>
      <c r="B11" s="23">
        <v>3</v>
      </c>
      <c r="C11" s="31"/>
      <c r="D11" s="31"/>
      <c r="E11" s="31"/>
      <c r="F11" s="91" t="e">
        <f t="shared" si="0"/>
        <v>#DIV/0!</v>
      </c>
      <c r="G11" s="91" t="e">
        <f t="shared" si="1"/>
        <v>#DIV/0!</v>
      </c>
      <c r="H11" s="23" t="s">
        <v>12</v>
      </c>
      <c r="I11" s="108" t="e">
        <f aca="true" t="shared" si="4" ref="I11:I24">SUM((IF(C11&gt;0,1,0))+(IF(D11&gt;0,1,0))+(IF(E11&gt;0,1,0)))/num_replicates</f>
        <v>#DIV/0!</v>
      </c>
      <c r="J11" s="107" t="s">
        <v>26</v>
      </c>
      <c r="K11" s="23">
        <v>1</v>
      </c>
      <c r="L11" s="31"/>
      <c r="M11" s="31"/>
      <c r="N11" s="31"/>
      <c r="O11" s="91" t="e">
        <f t="shared" si="2"/>
        <v>#DIV/0!</v>
      </c>
      <c r="P11" s="91" t="e">
        <f t="shared" si="3"/>
        <v>#DIV/0!</v>
      </c>
      <c r="Q11" s="23" t="s">
        <v>27</v>
      </c>
      <c r="R11" s="108" t="e">
        <f aca="true" t="shared" si="5" ref="R11:R27">SUM((IF(L11&gt;0,1,0))+(IF(M11&gt;0,1,0))+(IF(N11&gt;0,1,0)))/num_replicates</f>
        <v>#DIV/0!</v>
      </c>
    </row>
    <row r="12" spans="1:18" ht="12.75">
      <c r="A12" s="107" t="s">
        <v>13</v>
      </c>
      <c r="B12" s="23">
        <v>5</v>
      </c>
      <c r="C12" s="31"/>
      <c r="D12" s="31"/>
      <c r="E12" s="31"/>
      <c r="F12" s="91" t="e">
        <f t="shared" si="0"/>
        <v>#DIV/0!</v>
      </c>
      <c r="G12" s="91" t="e">
        <f t="shared" si="1"/>
        <v>#DIV/0!</v>
      </c>
      <c r="H12" s="23" t="s">
        <v>12</v>
      </c>
      <c r="I12" s="108" t="e">
        <f t="shared" si="4"/>
        <v>#DIV/0!</v>
      </c>
      <c r="J12" s="107" t="s">
        <v>28</v>
      </c>
      <c r="K12" s="23">
        <v>3</v>
      </c>
      <c r="L12" s="31"/>
      <c r="M12" s="31"/>
      <c r="N12" s="31"/>
      <c r="O12" s="91" t="e">
        <f t="shared" si="2"/>
        <v>#DIV/0!</v>
      </c>
      <c r="P12" s="91" t="e">
        <f t="shared" si="3"/>
        <v>#DIV/0!</v>
      </c>
      <c r="Q12" s="23" t="s">
        <v>27</v>
      </c>
      <c r="R12" s="108" t="e">
        <f t="shared" si="5"/>
        <v>#DIV/0!</v>
      </c>
    </row>
    <row r="13" spans="1:18" ht="12.75">
      <c r="A13" s="107" t="s">
        <v>14</v>
      </c>
      <c r="B13" s="23">
        <v>3</v>
      </c>
      <c r="C13" s="31"/>
      <c r="D13" s="31"/>
      <c r="E13" s="31"/>
      <c r="F13" s="91" t="e">
        <f t="shared" si="0"/>
        <v>#DIV/0!</v>
      </c>
      <c r="G13" s="91" t="e">
        <f t="shared" si="1"/>
        <v>#DIV/0!</v>
      </c>
      <c r="H13" s="23" t="s">
        <v>10</v>
      </c>
      <c r="I13" s="108" t="e">
        <f t="shared" si="4"/>
        <v>#DIV/0!</v>
      </c>
      <c r="J13" s="107" t="s">
        <v>29</v>
      </c>
      <c r="K13" s="23">
        <v>5</v>
      </c>
      <c r="L13" s="31"/>
      <c r="M13" s="31"/>
      <c r="N13" s="31"/>
      <c r="O13" s="91" t="e">
        <f t="shared" si="2"/>
        <v>#DIV/0!</v>
      </c>
      <c r="P13" s="91" t="e">
        <f t="shared" si="3"/>
        <v>#DIV/0!</v>
      </c>
      <c r="Q13" s="23" t="s">
        <v>20</v>
      </c>
      <c r="R13" s="108" t="e">
        <f t="shared" si="5"/>
        <v>#DIV/0!</v>
      </c>
    </row>
    <row r="14" spans="1:18" ht="12.75">
      <c r="A14" s="107" t="s">
        <v>15</v>
      </c>
      <c r="B14" s="23">
        <v>5</v>
      </c>
      <c r="C14" s="31"/>
      <c r="D14" s="31"/>
      <c r="E14" s="31"/>
      <c r="F14" s="91" t="e">
        <f t="shared" si="0"/>
        <v>#DIV/0!</v>
      </c>
      <c r="G14" s="91" t="e">
        <f t="shared" si="1"/>
        <v>#DIV/0!</v>
      </c>
      <c r="H14" s="23" t="s">
        <v>12</v>
      </c>
      <c r="I14" s="108" t="e">
        <f t="shared" si="4"/>
        <v>#DIV/0!</v>
      </c>
      <c r="J14" s="107" t="s">
        <v>30</v>
      </c>
      <c r="K14" s="23">
        <v>4</v>
      </c>
      <c r="L14" s="31"/>
      <c r="M14" s="31"/>
      <c r="N14" s="31"/>
      <c r="O14" s="91" t="e">
        <f t="shared" si="2"/>
        <v>#DIV/0!</v>
      </c>
      <c r="P14" s="91" t="e">
        <f t="shared" si="3"/>
        <v>#DIV/0!</v>
      </c>
      <c r="Q14" s="149" t="s">
        <v>31</v>
      </c>
      <c r="R14" s="108" t="e">
        <f t="shared" si="5"/>
        <v>#DIV/0!</v>
      </c>
    </row>
    <row r="15" spans="1:18" ht="12.75">
      <c r="A15" s="107" t="s">
        <v>16</v>
      </c>
      <c r="B15" s="23">
        <v>3</v>
      </c>
      <c r="C15" s="31"/>
      <c r="D15" s="31"/>
      <c r="E15" s="31"/>
      <c r="F15" s="91" t="e">
        <f t="shared" si="0"/>
        <v>#DIV/0!</v>
      </c>
      <c r="G15" s="91" t="e">
        <f t="shared" si="1"/>
        <v>#DIV/0!</v>
      </c>
      <c r="H15" s="23" t="s">
        <v>17</v>
      </c>
      <c r="I15" s="108" t="e">
        <f t="shared" si="4"/>
        <v>#DIV/0!</v>
      </c>
      <c r="J15" s="107" t="s">
        <v>32</v>
      </c>
      <c r="K15" s="23">
        <v>2</v>
      </c>
      <c r="L15" s="31"/>
      <c r="M15" s="31"/>
      <c r="N15" s="31"/>
      <c r="O15" s="91" t="e">
        <f t="shared" si="2"/>
        <v>#DIV/0!</v>
      </c>
      <c r="P15" s="91" t="e">
        <f t="shared" si="3"/>
        <v>#DIV/0!</v>
      </c>
      <c r="Q15" s="23" t="s">
        <v>33</v>
      </c>
      <c r="R15" s="108" t="e">
        <f t="shared" si="5"/>
        <v>#DIV/0!</v>
      </c>
    </row>
    <row r="16" spans="1:18" ht="12.75">
      <c r="A16" s="107" t="s">
        <v>208</v>
      </c>
      <c r="B16" s="23">
        <v>2</v>
      </c>
      <c r="C16" s="31"/>
      <c r="D16" s="31"/>
      <c r="E16" s="31"/>
      <c r="F16" s="91" t="e">
        <f t="shared" si="0"/>
        <v>#DIV/0!</v>
      </c>
      <c r="G16" s="91" t="e">
        <f t="shared" si="1"/>
        <v>#DIV/0!</v>
      </c>
      <c r="H16" s="23" t="s">
        <v>12</v>
      </c>
      <c r="I16" s="108" t="e">
        <f t="shared" si="4"/>
        <v>#DIV/0!</v>
      </c>
      <c r="J16" s="107" t="s">
        <v>34</v>
      </c>
      <c r="K16" s="23">
        <v>4</v>
      </c>
      <c r="L16" s="31"/>
      <c r="M16" s="31"/>
      <c r="N16" s="31"/>
      <c r="O16" s="91" t="e">
        <f t="shared" si="2"/>
        <v>#DIV/0!</v>
      </c>
      <c r="P16" s="91" t="e">
        <f t="shared" si="3"/>
        <v>#DIV/0!</v>
      </c>
      <c r="Q16" s="149" t="s">
        <v>35</v>
      </c>
      <c r="R16" s="108" t="e">
        <f t="shared" si="5"/>
        <v>#DIV/0!</v>
      </c>
    </row>
    <row r="17" spans="1:18" ht="12.75">
      <c r="A17" s="107" t="s">
        <v>18</v>
      </c>
      <c r="B17" s="23">
        <v>2</v>
      </c>
      <c r="C17" s="31"/>
      <c r="D17" s="31"/>
      <c r="E17" s="31"/>
      <c r="F17" s="91" t="e">
        <f t="shared" si="0"/>
        <v>#DIV/0!</v>
      </c>
      <c r="G17" s="91" t="e">
        <f t="shared" si="1"/>
        <v>#DIV/0!</v>
      </c>
      <c r="H17" s="23" t="s">
        <v>12</v>
      </c>
      <c r="I17" s="108" t="e">
        <f t="shared" si="4"/>
        <v>#DIV/0!</v>
      </c>
      <c r="J17" s="107" t="s">
        <v>36</v>
      </c>
      <c r="K17" s="23">
        <v>4</v>
      </c>
      <c r="L17" s="31"/>
      <c r="M17" s="31"/>
      <c r="N17" s="31"/>
      <c r="O17" s="91" t="e">
        <f t="shared" si="2"/>
        <v>#DIV/0!</v>
      </c>
      <c r="P17" s="91" t="e">
        <f t="shared" si="3"/>
        <v>#DIV/0!</v>
      </c>
      <c r="Q17" s="149" t="s">
        <v>37</v>
      </c>
      <c r="R17" s="108" t="e">
        <f t="shared" si="5"/>
        <v>#DIV/0!</v>
      </c>
    </row>
    <row r="18" spans="1:18" ht="12.75">
      <c r="A18" s="107" t="s">
        <v>215</v>
      </c>
      <c r="B18" s="23">
        <v>3</v>
      </c>
      <c r="C18" s="31"/>
      <c r="D18" s="31"/>
      <c r="E18" s="31"/>
      <c r="F18" s="91" t="e">
        <f t="shared" si="0"/>
        <v>#DIV/0!</v>
      </c>
      <c r="G18" s="91" t="e">
        <f t="shared" si="1"/>
        <v>#DIV/0!</v>
      </c>
      <c r="H18" s="23" t="s">
        <v>20</v>
      </c>
      <c r="I18" s="108" t="e">
        <f t="shared" si="4"/>
        <v>#DIV/0!</v>
      </c>
      <c r="J18" s="107" t="s">
        <v>38</v>
      </c>
      <c r="K18" s="23">
        <v>6</v>
      </c>
      <c r="L18" s="31"/>
      <c r="M18" s="31"/>
      <c r="N18" s="31"/>
      <c r="O18" s="91" t="e">
        <f t="shared" si="2"/>
        <v>#DIV/0!</v>
      </c>
      <c r="P18" s="91" t="e">
        <f t="shared" si="3"/>
        <v>#DIV/0!</v>
      </c>
      <c r="Q18" s="150" t="s">
        <v>27</v>
      </c>
      <c r="R18" s="108" t="e">
        <f t="shared" si="5"/>
        <v>#DIV/0!</v>
      </c>
    </row>
    <row r="19" spans="1:18" ht="12.75">
      <c r="A19" s="107" t="s">
        <v>21</v>
      </c>
      <c r="B19" s="23">
        <v>2</v>
      </c>
      <c r="C19" s="31"/>
      <c r="D19" s="31"/>
      <c r="E19" s="31"/>
      <c r="F19" s="91" t="e">
        <f t="shared" si="0"/>
        <v>#DIV/0!</v>
      </c>
      <c r="G19" s="91" t="e">
        <f t="shared" si="1"/>
        <v>#DIV/0!</v>
      </c>
      <c r="H19" s="23" t="s">
        <v>12</v>
      </c>
      <c r="I19" s="108" t="e">
        <f t="shared" si="4"/>
        <v>#DIV/0!</v>
      </c>
      <c r="J19" s="107" t="s">
        <v>39</v>
      </c>
      <c r="K19" s="23">
        <v>1</v>
      </c>
      <c r="L19" s="31"/>
      <c r="M19" s="31"/>
      <c r="N19" s="31"/>
      <c r="O19" s="91" t="e">
        <f t="shared" si="2"/>
        <v>#DIV/0!</v>
      </c>
      <c r="P19" s="91" t="e">
        <f t="shared" si="3"/>
        <v>#DIV/0!</v>
      </c>
      <c r="Q19" s="150" t="s">
        <v>33</v>
      </c>
      <c r="R19" s="108" t="e">
        <f t="shared" si="5"/>
        <v>#DIV/0!</v>
      </c>
    </row>
    <row r="20" spans="1:18" ht="12.75">
      <c r="A20" s="107" t="s">
        <v>22</v>
      </c>
      <c r="B20" s="23">
        <v>4</v>
      </c>
      <c r="C20" s="31"/>
      <c r="D20" s="31"/>
      <c r="E20" s="31"/>
      <c r="F20" s="91" t="e">
        <f t="shared" si="0"/>
        <v>#DIV/0!</v>
      </c>
      <c r="G20" s="91" t="e">
        <f t="shared" si="1"/>
        <v>#DIV/0!</v>
      </c>
      <c r="H20" s="23" t="s">
        <v>12</v>
      </c>
      <c r="I20" s="108" t="e">
        <f t="shared" si="4"/>
        <v>#DIV/0!</v>
      </c>
      <c r="J20" s="107" t="s">
        <v>40</v>
      </c>
      <c r="K20" s="23">
        <v>4</v>
      </c>
      <c r="L20" s="31"/>
      <c r="M20" s="31"/>
      <c r="N20" s="31"/>
      <c r="O20" s="91" t="e">
        <f t="shared" si="2"/>
        <v>#DIV/0!</v>
      </c>
      <c r="P20" s="91" t="e">
        <f t="shared" si="3"/>
        <v>#DIV/0!</v>
      </c>
      <c r="Q20" s="150" t="s">
        <v>20</v>
      </c>
      <c r="R20" s="108" t="e">
        <f t="shared" si="5"/>
        <v>#DIV/0!</v>
      </c>
    </row>
    <row r="21" spans="1:18" ht="12.75">
      <c r="A21" s="107" t="s">
        <v>23</v>
      </c>
      <c r="B21" s="23">
        <v>5</v>
      </c>
      <c r="C21" s="31"/>
      <c r="D21" s="31"/>
      <c r="E21" s="31"/>
      <c r="F21" s="91" t="e">
        <f t="shared" si="0"/>
        <v>#DIV/0!</v>
      </c>
      <c r="G21" s="91" t="e">
        <f t="shared" si="1"/>
        <v>#DIV/0!</v>
      </c>
      <c r="H21" s="23" t="s">
        <v>12</v>
      </c>
      <c r="I21" s="108" t="e">
        <f t="shared" si="4"/>
        <v>#DIV/0!</v>
      </c>
      <c r="J21" s="107" t="s">
        <v>41</v>
      </c>
      <c r="K21" s="23">
        <v>4</v>
      </c>
      <c r="L21" s="31"/>
      <c r="M21" s="31"/>
      <c r="N21" s="31"/>
      <c r="O21" s="91" t="e">
        <f t="shared" si="2"/>
        <v>#DIV/0!</v>
      </c>
      <c r="P21" s="91" t="e">
        <f t="shared" si="3"/>
        <v>#DIV/0!</v>
      </c>
      <c r="Q21" s="150" t="s">
        <v>33</v>
      </c>
      <c r="R21" s="108" t="e">
        <f t="shared" si="5"/>
        <v>#DIV/0!</v>
      </c>
    </row>
    <row r="22" spans="1:18" ht="12.75">
      <c r="A22" s="107" t="s">
        <v>24</v>
      </c>
      <c r="B22" s="23">
        <v>5</v>
      </c>
      <c r="C22" s="31"/>
      <c r="D22" s="31"/>
      <c r="E22" s="31"/>
      <c r="F22" s="91" t="e">
        <f t="shared" si="0"/>
        <v>#DIV/0!</v>
      </c>
      <c r="G22" s="91" t="e">
        <f t="shared" si="1"/>
        <v>#DIV/0!</v>
      </c>
      <c r="H22" s="23" t="s">
        <v>12</v>
      </c>
      <c r="I22" s="108" t="e">
        <f t="shared" si="4"/>
        <v>#DIV/0!</v>
      </c>
      <c r="J22" s="107" t="s">
        <v>42</v>
      </c>
      <c r="K22" s="23">
        <v>6</v>
      </c>
      <c r="L22" s="31"/>
      <c r="M22" s="31"/>
      <c r="N22" s="31"/>
      <c r="O22" s="91" t="e">
        <f t="shared" si="2"/>
        <v>#DIV/0!</v>
      </c>
      <c r="P22" s="91" t="e">
        <f t="shared" si="3"/>
        <v>#DIV/0!</v>
      </c>
      <c r="Q22" s="150" t="s">
        <v>43</v>
      </c>
      <c r="R22" s="108" t="e">
        <f t="shared" si="5"/>
        <v>#DIV/0!</v>
      </c>
    </row>
    <row r="23" spans="1:18" ht="12.75">
      <c r="A23" s="107"/>
      <c r="B23" s="23"/>
      <c r="C23" s="31"/>
      <c r="D23" s="31"/>
      <c r="E23" s="31"/>
      <c r="F23" s="91" t="e">
        <f t="shared" si="0"/>
        <v>#DIV/0!</v>
      </c>
      <c r="G23" s="91" t="e">
        <f t="shared" si="1"/>
        <v>#DIV/0!</v>
      </c>
      <c r="H23" s="23"/>
      <c r="I23" s="108" t="e">
        <f t="shared" si="4"/>
        <v>#DIV/0!</v>
      </c>
      <c r="J23" s="107" t="s">
        <v>44</v>
      </c>
      <c r="K23" s="23">
        <v>4</v>
      </c>
      <c r="L23" s="31"/>
      <c r="M23" s="31"/>
      <c r="N23" s="31"/>
      <c r="O23" s="91" t="e">
        <f t="shared" si="2"/>
        <v>#DIV/0!</v>
      </c>
      <c r="P23" s="91" t="e">
        <f t="shared" si="3"/>
        <v>#DIV/0!</v>
      </c>
      <c r="Q23" s="150" t="s">
        <v>12</v>
      </c>
      <c r="R23" s="108" t="e">
        <f t="shared" si="5"/>
        <v>#DIV/0!</v>
      </c>
    </row>
    <row r="24" spans="1:18" ht="12.75">
      <c r="A24" s="109"/>
      <c r="B24" s="23"/>
      <c r="C24" s="31"/>
      <c r="D24" s="31"/>
      <c r="E24" s="31"/>
      <c r="F24" s="91" t="e">
        <f t="shared" si="0"/>
        <v>#DIV/0!</v>
      </c>
      <c r="G24" s="91" t="e">
        <f t="shared" si="1"/>
        <v>#DIV/0!</v>
      </c>
      <c r="H24" s="23"/>
      <c r="I24" s="108" t="e">
        <f t="shared" si="4"/>
        <v>#DIV/0!</v>
      </c>
      <c r="J24" s="107" t="s">
        <v>45</v>
      </c>
      <c r="K24" s="23">
        <v>3</v>
      </c>
      <c r="L24" s="31"/>
      <c r="M24" s="31"/>
      <c r="N24" s="31"/>
      <c r="O24" s="91" t="e">
        <f t="shared" si="2"/>
        <v>#DIV/0!</v>
      </c>
      <c r="P24" s="91" t="e">
        <f t="shared" si="3"/>
        <v>#DIV/0!</v>
      </c>
      <c r="Q24" s="150" t="s">
        <v>46</v>
      </c>
      <c r="R24" s="108" t="e">
        <f t="shared" si="5"/>
        <v>#DIV/0!</v>
      </c>
    </row>
    <row r="25" spans="1:18" ht="13.5" thickBot="1">
      <c r="A25" s="110" t="s">
        <v>48</v>
      </c>
      <c r="B25" s="94"/>
      <c r="C25" s="94"/>
      <c r="D25" s="94"/>
      <c r="E25" s="94"/>
      <c r="F25" s="95" t="e">
        <f>SUM(F10:F24)</f>
        <v>#DIV/0!</v>
      </c>
      <c r="G25" s="96" t="e">
        <f>SUM(G10:G24)</f>
        <v>#DIV/0!</v>
      </c>
      <c r="H25" s="131"/>
      <c r="I25" s="123" t="e">
        <f>SUM(I10:I24)</f>
        <v>#DIV/0!</v>
      </c>
      <c r="J25" s="107" t="s">
        <v>47</v>
      </c>
      <c r="K25" s="23">
        <v>3</v>
      </c>
      <c r="L25" s="31"/>
      <c r="M25" s="31"/>
      <c r="N25" s="31"/>
      <c r="O25" s="91" t="e">
        <f t="shared" si="2"/>
        <v>#DIV/0!</v>
      </c>
      <c r="P25" s="91" t="e">
        <f t="shared" si="3"/>
        <v>#DIV/0!</v>
      </c>
      <c r="Q25" s="150" t="s">
        <v>33</v>
      </c>
      <c r="R25" s="108" t="e">
        <f t="shared" si="5"/>
        <v>#DIV/0!</v>
      </c>
    </row>
    <row r="26" spans="1:18" ht="12.75">
      <c r="A26" s="102" t="s">
        <v>50</v>
      </c>
      <c r="B26" s="103"/>
      <c r="C26" s="103"/>
      <c r="D26" s="103"/>
      <c r="E26" s="103"/>
      <c r="F26" s="104"/>
      <c r="G26" s="104"/>
      <c r="H26" s="105"/>
      <c r="I26" s="115"/>
      <c r="J26" s="107"/>
      <c r="K26" s="23"/>
      <c r="L26" s="31"/>
      <c r="M26" s="31"/>
      <c r="N26" s="31"/>
      <c r="O26" s="91" t="e">
        <f t="shared" si="2"/>
        <v>#DIV/0!</v>
      </c>
      <c r="P26" s="91" t="e">
        <f t="shared" si="3"/>
        <v>#DIV/0!</v>
      </c>
      <c r="Q26" s="151"/>
      <c r="R26" s="108" t="e">
        <f t="shared" si="5"/>
        <v>#DIV/0!</v>
      </c>
    </row>
    <row r="27" spans="1:18" ht="12.75">
      <c r="A27" s="107" t="s">
        <v>52</v>
      </c>
      <c r="B27" s="23">
        <v>2</v>
      </c>
      <c r="C27" s="31"/>
      <c r="D27" s="31"/>
      <c r="E27" s="31"/>
      <c r="F27" s="91" t="e">
        <f aca="true" t="shared" si="6" ref="F27:F37">(C27+D27+E27)/$K$6</f>
        <v>#DIV/0!</v>
      </c>
      <c r="G27" s="91" t="e">
        <f aca="true" t="shared" si="7" ref="G27:G37">B27*F27</f>
        <v>#DIV/0!</v>
      </c>
      <c r="H27" s="23" t="s">
        <v>33</v>
      </c>
      <c r="I27" s="93" t="e">
        <f aca="true" t="shared" si="8" ref="I27:I37">SUM((IF(C27&gt;0,1,0))+(IF(D27&gt;0,1,0))+(IF(E27&gt;0,1,0)))/num_replicates</f>
        <v>#DIV/0!</v>
      </c>
      <c r="J27" s="121"/>
      <c r="K27" s="23"/>
      <c r="L27" s="31"/>
      <c r="M27" s="31"/>
      <c r="N27" s="31"/>
      <c r="O27" s="91" t="e">
        <f t="shared" si="2"/>
        <v>#DIV/0!</v>
      </c>
      <c r="P27" s="91" t="e">
        <f t="shared" si="3"/>
        <v>#DIV/0!</v>
      </c>
      <c r="Q27" s="151"/>
      <c r="R27" s="108" t="e">
        <f t="shared" si="5"/>
        <v>#DIV/0!</v>
      </c>
    </row>
    <row r="28" spans="1:18" ht="13.5" thickBot="1">
      <c r="A28" s="107" t="s">
        <v>53</v>
      </c>
      <c r="B28" s="23">
        <v>1</v>
      </c>
      <c r="C28" s="31"/>
      <c r="D28" s="31"/>
      <c r="E28" s="31"/>
      <c r="F28" s="91" t="e">
        <f t="shared" si="6"/>
        <v>#DIV/0!</v>
      </c>
      <c r="G28" s="91" t="e">
        <f t="shared" si="7"/>
        <v>#DIV/0!</v>
      </c>
      <c r="H28" s="23" t="s">
        <v>54</v>
      </c>
      <c r="I28" s="93" t="e">
        <f t="shared" si="8"/>
        <v>#DIV/0!</v>
      </c>
      <c r="J28" s="110" t="s">
        <v>49</v>
      </c>
      <c r="K28" s="94"/>
      <c r="L28" s="94"/>
      <c r="M28" s="94"/>
      <c r="N28" s="94"/>
      <c r="O28" s="95" t="e">
        <f>SUM(O10:O27)</f>
        <v>#DIV/0!</v>
      </c>
      <c r="P28" s="96" t="e">
        <f>SUM(P10:P27)</f>
        <v>#DIV/0!</v>
      </c>
      <c r="Q28" s="97"/>
      <c r="R28" s="111" t="e">
        <f>SUM(R10:R27)</f>
        <v>#DIV/0!</v>
      </c>
    </row>
    <row r="29" spans="1:18" ht="12.75">
      <c r="A29" s="107" t="s">
        <v>55</v>
      </c>
      <c r="B29" s="23">
        <v>1</v>
      </c>
      <c r="C29" s="31"/>
      <c r="D29" s="31"/>
      <c r="E29" s="31"/>
      <c r="F29" s="91" t="e">
        <f t="shared" si="6"/>
        <v>#DIV/0!</v>
      </c>
      <c r="G29" s="91" t="e">
        <f t="shared" si="7"/>
        <v>#DIV/0!</v>
      </c>
      <c r="H29" s="23" t="s">
        <v>33</v>
      </c>
      <c r="I29" s="93" t="e">
        <f t="shared" si="8"/>
        <v>#DIV/0!</v>
      </c>
      <c r="J29" s="102" t="s">
        <v>51</v>
      </c>
      <c r="K29" s="103"/>
      <c r="L29" s="103"/>
      <c r="M29" s="103"/>
      <c r="N29" s="103"/>
      <c r="O29" s="113"/>
      <c r="P29" s="113"/>
      <c r="Q29" s="114"/>
      <c r="R29" s="106"/>
    </row>
    <row r="30" spans="1:18" ht="12.75">
      <c r="A30" s="107" t="s">
        <v>56</v>
      </c>
      <c r="B30" s="23">
        <v>2</v>
      </c>
      <c r="C30" s="31"/>
      <c r="D30" s="31"/>
      <c r="E30" s="31"/>
      <c r="F30" s="91" t="e">
        <f t="shared" si="6"/>
        <v>#DIV/0!</v>
      </c>
      <c r="G30" s="91" t="e">
        <f t="shared" si="7"/>
        <v>#DIV/0!</v>
      </c>
      <c r="H30" s="23" t="s">
        <v>33</v>
      </c>
      <c r="I30" s="93" t="e">
        <f t="shared" si="8"/>
        <v>#DIV/0!</v>
      </c>
      <c r="J30" s="107" t="s">
        <v>63</v>
      </c>
      <c r="K30" s="23">
        <v>3</v>
      </c>
      <c r="L30" s="31"/>
      <c r="M30" s="31"/>
      <c r="N30" s="31"/>
      <c r="O30" s="91" t="e">
        <f aca="true" t="shared" si="9" ref="O30:O40">(L30+M30+N30)/$K$6</f>
        <v>#DIV/0!</v>
      </c>
      <c r="P30" s="91" t="e">
        <f aca="true" t="shared" si="10" ref="P30:P40">K30*O30</f>
        <v>#DIV/0!</v>
      </c>
      <c r="Q30" s="23" t="s">
        <v>46</v>
      </c>
      <c r="R30" s="108" t="e">
        <f aca="true" t="shared" si="11" ref="R30:R40">SUM((IF(L30&gt;0,1,0))+(IF(M30&gt;0,1,0))+(IF(N30&gt;0,1,0)))/num_replicates</f>
        <v>#DIV/0!</v>
      </c>
    </row>
    <row r="31" spans="1:18" ht="12.75">
      <c r="A31" s="107" t="s">
        <v>57</v>
      </c>
      <c r="B31" s="23">
        <v>1</v>
      </c>
      <c r="C31" s="31"/>
      <c r="D31" s="31"/>
      <c r="E31" s="31"/>
      <c r="F31" s="91" t="e">
        <f t="shared" si="6"/>
        <v>#DIV/0!</v>
      </c>
      <c r="G31" s="91" t="e">
        <f t="shared" si="7"/>
        <v>#DIV/0!</v>
      </c>
      <c r="H31" s="23" t="s">
        <v>33</v>
      </c>
      <c r="I31" s="93" t="e">
        <f t="shared" si="8"/>
        <v>#DIV/0!</v>
      </c>
      <c r="J31" s="107" t="s">
        <v>64</v>
      </c>
      <c r="K31" s="23">
        <v>1</v>
      </c>
      <c r="L31" s="31"/>
      <c r="M31" s="31"/>
      <c r="N31" s="31"/>
      <c r="O31" s="91" t="e">
        <f t="shared" si="9"/>
        <v>#DIV/0!</v>
      </c>
      <c r="P31" s="91" t="e">
        <f t="shared" si="10"/>
        <v>#DIV/0!</v>
      </c>
      <c r="Q31" s="23" t="s">
        <v>27</v>
      </c>
      <c r="R31" s="108" t="e">
        <f t="shared" si="11"/>
        <v>#DIV/0!</v>
      </c>
    </row>
    <row r="32" spans="1:19" ht="12.75">
      <c r="A32" s="107" t="s">
        <v>58</v>
      </c>
      <c r="B32" s="23">
        <v>1</v>
      </c>
      <c r="C32" s="31"/>
      <c r="D32" s="31"/>
      <c r="E32" s="31"/>
      <c r="F32" s="91" t="e">
        <f t="shared" si="6"/>
        <v>#DIV/0!</v>
      </c>
      <c r="G32" s="91" t="e">
        <f t="shared" si="7"/>
        <v>#DIV/0!</v>
      </c>
      <c r="H32" s="23" t="s">
        <v>46</v>
      </c>
      <c r="I32" s="93" t="e">
        <f t="shared" si="8"/>
        <v>#DIV/0!</v>
      </c>
      <c r="J32" s="107" t="s">
        <v>65</v>
      </c>
      <c r="K32" s="23">
        <v>6</v>
      </c>
      <c r="L32" s="31"/>
      <c r="M32" s="31"/>
      <c r="N32" s="31"/>
      <c r="O32" s="91" t="e">
        <f t="shared" si="9"/>
        <v>#DIV/0!</v>
      </c>
      <c r="P32" s="91" t="e">
        <f t="shared" si="10"/>
        <v>#DIV/0!</v>
      </c>
      <c r="Q32" s="23" t="s">
        <v>46</v>
      </c>
      <c r="R32" s="108" t="e">
        <f t="shared" si="11"/>
        <v>#DIV/0!</v>
      </c>
      <c r="S32" s="19" t="s">
        <v>166</v>
      </c>
    </row>
    <row r="33" spans="1:20" ht="12.75">
      <c r="A33" s="107" t="s">
        <v>59</v>
      </c>
      <c r="B33" s="23">
        <v>1</v>
      </c>
      <c r="C33" s="31"/>
      <c r="D33" s="31"/>
      <c r="E33" s="31"/>
      <c r="F33" s="91" t="e">
        <f t="shared" si="6"/>
        <v>#DIV/0!</v>
      </c>
      <c r="G33" s="91" t="e">
        <f t="shared" si="7"/>
        <v>#DIV/0!</v>
      </c>
      <c r="H33" s="23" t="s">
        <v>46</v>
      </c>
      <c r="I33" s="93" t="e">
        <f t="shared" si="8"/>
        <v>#DIV/0!</v>
      </c>
      <c r="J33" s="107" t="s">
        <v>66</v>
      </c>
      <c r="K33" s="23">
        <v>8</v>
      </c>
      <c r="L33" s="31"/>
      <c r="M33" s="31"/>
      <c r="N33" s="31"/>
      <c r="O33" s="91" t="e">
        <f t="shared" si="9"/>
        <v>#DIV/0!</v>
      </c>
      <c r="P33" s="91" t="e">
        <f t="shared" si="10"/>
        <v>#DIV/0!</v>
      </c>
      <c r="Q33" s="23" t="s">
        <v>67</v>
      </c>
      <c r="R33" s="108" t="e">
        <f t="shared" si="11"/>
        <v>#DIV/0!</v>
      </c>
      <c r="S33" s="38" t="s">
        <v>172</v>
      </c>
      <c r="T33" s="19" t="s">
        <v>193</v>
      </c>
    </row>
    <row r="34" spans="1:22" ht="12.75">
      <c r="A34" s="107" t="s">
        <v>60</v>
      </c>
      <c r="B34" s="23">
        <v>1</v>
      </c>
      <c r="C34" s="31"/>
      <c r="D34" s="31"/>
      <c r="E34" s="31"/>
      <c r="F34" s="91" t="e">
        <f t="shared" si="6"/>
        <v>#DIV/0!</v>
      </c>
      <c r="G34" s="91" t="e">
        <f t="shared" si="7"/>
        <v>#DIV/0!</v>
      </c>
      <c r="H34" s="23" t="s">
        <v>33</v>
      </c>
      <c r="I34" s="93" t="e">
        <f t="shared" si="8"/>
        <v>#DIV/0!</v>
      </c>
      <c r="J34" s="107" t="s">
        <v>68</v>
      </c>
      <c r="K34" s="23">
        <v>6</v>
      </c>
      <c r="L34" s="31"/>
      <c r="M34" s="31"/>
      <c r="N34" s="31"/>
      <c r="O34" s="91" t="e">
        <f t="shared" si="9"/>
        <v>#DIV/0!</v>
      </c>
      <c r="P34" s="91" t="e">
        <f t="shared" si="10"/>
        <v>#DIV/0!</v>
      </c>
      <c r="Q34" s="23" t="s">
        <v>46</v>
      </c>
      <c r="R34" s="108" t="e">
        <f t="shared" si="11"/>
        <v>#DIV/0!</v>
      </c>
      <c r="S34" s="79" t="e">
        <f aca="true" t="shared" si="12" ref="S34:S50">T34*100/T$50</f>
        <v>#DIV/0!</v>
      </c>
      <c r="T34" s="71" t="e">
        <f>ephemeroptera_density</f>
        <v>#DIV/0!</v>
      </c>
      <c r="U34" s="34" t="s">
        <v>156</v>
      </c>
      <c r="V34" s="2"/>
    </row>
    <row r="35" spans="1:22" ht="12.75">
      <c r="A35" s="107" t="s">
        <v>61</v>
      </c>
      <c r="B35" s="23">
        <v>2</v>
      </c>
      <c r="C35" s="31"/>
      <c r="D35" s="31"/>
      <c r="E35" s="31"/>
      <c r="F35" s="91" t="e">
        <f t="shared" si="6"/>
        <v>#DIV/0!</v>
      </c>
      <c r="G35" s="91" t="e">
        <f t="shared" si="7"/>
        <v>#DIV/0!</v>
      </c>
      <c r="H35" s="23" t="s">
        <v>33</v>
      </c>
      <c r="I35" s="93" t="e">
        <f t="shared" si="8"/>
        <v>#DIV/0!</v>
      </c>
      <c r="J35" s="107" t="s">
        <v>69</v>
      </c>
      <c r="K35" s="23">
        <v>6</v>
      </c>
      <c r="L35" s="31"/>
      <c r="M35" s="31"/>
      <c r="N35" s="31"/>
      <c r="O35" s="91" t="e">
        <f t="shared" si="9"/>
        <v>#DIV/0!</v>
      </c>
      <c r="P35" s="91" t="e">
        <f t="shared" si="10"/>
        <v>#DIV/0!</v>
      </c>
      <c r="Q35" s="23" t="s">
        <v>20</v>
      </c>
      <c r="R35" s="108" t="e">
        <f t="shared" si="11"/>
        <v>#DIV/0!</v>
      </c>
      <c r="S35" s="79" t="e">
        <f t="shared" si="12"/>
        <v>#DIV/0!</v>
      </c>
      <c r="T35" s="71" t="e">
        <f>plecoptera_density</f>
        <v>#DIV/0!</v>
      </c>
      <c r="U35" s="34" t="s">
        <v>157</v>
      </c>
      <c r="V35" s="2"/>
    </row>
    <row r="36" spans="1:22" ht="12.75">
      <c r="A36" s="107"/>
      <c r="B36" s="23"/>
      <c r="C36" s="31"/>
      <c r="D36" s="31"/>
      <c r="E36" s="31"/>
      <c r="F36" s="91" t="e">
        <f t="shared" si="6"/>
        <v>#DIV/0!</v>
      </c>
      <c r="G36" s="91" t="e">
        <f t="shared" si="7"/>
        <v>#DIV/0!</v>
      </c>
      <c r="H36" s="23"/>
      <c r="I36" s="93" t="e">
        <f t="shared" si="8"/>
        <v>#DIV/0!</v>
      </c>
      <c r="J36" s="107" t="s">
        <v>70</v>
      </c>
      <c r="K36" s="23">
        <v>7</v>
      </c>
      <c r="L36" s="31"/>
      <c r="M36" s="31"/>
      <c r="N36" s="31"/>
      <c r="O36" s="91" t="e">
        <f t="shared" si="9"/>
        <v>#DIV/0!</v>
      </c>
      <c r="P36" s="91" t="e">
        <f t="shared" si="10"/>
        <v>#DIV/0!</v>
      </c>
      <c r="Q36" s="23" t="s">
        <v>46</v>
      </c>
      <c r="R36" s="108" t="e">
        <f t="shared" si="11"/>
        <v>#DIV/0!</v>
      </c>
      <c r="S36" s="79" t="e">
        <f t="shared" si="12"/>
        <v>#DIV/0!</v>
      </c>
      <c r="T36" s="71" t="e">
        <f>trichoptera_density</f>
        <v>#DIV/0!</v>
      </c>
      <c r="U36" s="34" t="s">
        <v>158</v>
      </c>
      <c r="V36" s="2"/>
    </row>
    <row r="37" spans="1:22" ht="12.75">
      <c r="A37" s="109"/>
      <c r="B37" s="23"/>
      <c r="C37" s="31"/>
      <c r="D37" s="31"/>
      <c r="E37" s="31"/>
      <c r="F37" s="91" t="e">
        <f t="shared" si="6"/>
        <v>#DIV/0!</v>
      </c>
      <c r="G37" s="91" t="e">
        <f t="shared" si="7"/>
        <v>#DIV/0!</v>
      </c>
      <c r="H37" s="23"/>
      <c r="I37" s="93" t="e">
        <f t="shared" si="8"/>
        <v>#DIV/0!</v>
      </c>
      <c r="J37" s="107" t="s">
        <v>71</v>
      </c>
      <c r="K37" s="23">
        <v>4</v>
      </c>
      <c r="L37" s="31"/>
      <c r="M37" s="31"/>
      <c r="N37" s="31"/>
      <c r="O37" s="91" t="e">
        <f t="shared" si="9"/>
        <v>#DIV/0!</v>
      </c>
      <c r="P37" s="91" t="e">
        <f t="shared" si="10"/>
        <v>#DIV/0!</v>
      </c>
      <c r="Q37" s="149" t="s">
        <v>192</v>
      </c>
      <c r="R37" s="108" t="e">
        <f t="shared" si="11"/>
        <v>#DIV/0!</v>
      </c>
      <c r="S37" s="79" t="e">
        <f t="shared" si="12"/>
        <v>#DIV/0!</v>
      </c>
      <c r="T37" s="71" t="e">
        <f>Chironomidae_density</f>
        <v>#DIV/0!</v>
      </c>
      <c r="U37" s="35" t="s">
        <v>159</v>
      </c>
      <c r="V37" s="2"/>
    </row>
    <row r="38" spans="1:22" ht="13.5" thickBot="1">
      <c r="A38" s="110" t="s">
        <v>62</v>
      </c>
      <c r="B38" s="98"/>
      <c r="C38" s="98"/>
      <c r="D38" s="98"/>
      <c r="E38" s="98"/>
      <c r="F38" s="95" t="e">
        <f>SUM(F27:F37)</f>
        <v>#DIV/0!</v>
      </c>
      <c r="G38" s="99" t="e">
        <f>SUM(G27:G37)</f>
        <v>#DIV/0!</v>
      </c>
      <c r="H38" s="97"/>
      <c r="I38" s="112" t="e">
        <f>SUM(I27:I37)</f>
        <v>#DIV/0!</v>
      </c>
      <c r="J38" s="107" t="s">
        <v>173</v>
      </c>
      <c r="K38" s="23"/>
      <c r="L38" s="31"/>
      <c r="M38" s="31"/>
      <c r="N38" s="31"/>
      <c r="O38" s="91" t="e">
        <f t="shared" si="9"/>
        <v>#DIV/0!</v>
      </c>
      <c r="P38" s="91" t="e">
        <f t="shared" si="10"/>
        <v>#DIV/0!</v>
      </c>
      <c r="Q38" s="23"/>
      <c r="R38" s="108" t="e">
        <f t="shared" si="11"/>
        <v>#DIV/0!</v>
      </c>
      <c r="S38" s="79" t="e">
        <f t="shared" si="12"/>
        <v>#DIV/0!</v>
      </c>
      <c r="T38" s="71" t="e">
        <f>O41-O33</f>
        <v>#DIV/0!</v>
      </c>
      <c r="U38" s="34" t="s">
        <v>165</v>
      </c>
      <c r="V38" s="2"/>
    </row>
    <row r="39" spans="10:22" ht="12.75">
      <c r="J39" s="107"/>
      <c r="K39" s="23"/>
      <c r="L39" s="31"/>
      <c r="M39" s="31"/>
      <c r="N39" s="31"/>
      <c r="O39" s="91" t="e">
        <f t="shared" si="9"/>
        <v>#DIV/0!</v>
      </c>
      <c r="P39" s="91" t="e">
        <f t="shared" si="10"/>
        <v>#DIV/0!</v>
      </c>
      <c r="Q39" s="23"/>
      <c r="R39" s="108" t="e">
        <f t="shared" si="11"/>
        <v>#DIV/0!</v>
      </c>
      <c r="S39" s="79" t="e">
        <f t="shared" si="12"/>
        <v>#DIV/0!</v>
      </c>
      <c r="T39" s="71" t="e">
        <f>odonota_density</f>
        <v>#DIV/0!</v>
      </c>
      <c r="U39" s="34" t="s">
        <v>160</v>
      </c>
      <c r="V39" s="2"/>
    </row>
    <row r="40" spans="1:22" ht="12.75">
      <c r="A40" s="19" t="s">
        <v>73</v>
      </c>
      <c r="J40" s="109"/>
      <c r="K40" s="23"/>
      <c r="L40" s="31"/>
      <c r="M40" s="31"/>
      <c r="N40" s="31"/>
      <c r="O40" s="91" t="e">
        <f t="shared" si="9"/>
        <v>#DIV/0!</v>
      </c>
      <c r="P40" s="91" t="e">
        <f t="shared" si="10"/>
        <v>#DIV/0!</v>
      </c>
      <c r="Q40" s="23"/>
      <c r="R40" s="108" t="e">
        <f t="shared" si="11"/>
        <v>#DIV/0!</v>
      </c>
      <c r="S40" s="79" t="e">
        <f t="shared" si="12"/>
        <v>#DIV/0!</v>
      </c>
      <c r="T40" s="71" t="e">
        <f>megaloptera_density</f>
        <v>#DIV/0!</v>
      </c>
      <c r="U40" s="34" t="s">
        <v>161</v>
      </c>
      <c r="V40" s="2"/>
    </row>
    <row r="41" spans="1:22" ht="13.5" thickBot="1">
      <c r="A41" t="s">
        <v>74</v>
      </c>
      <c r="J41" s="110" t="s">
        <v>72</v>
      </c>
      <c r="K41" s="98"/>
      <c r="L41" s="98"/>
      <c r="M41" s="98"/>
      <c r="N41" s="98"/>
      <c r="O41" s="95" t="e">
        <f>SUM(O30:O40)</f>
        <v>#DIV/0!</v>
      </c>
      <c r="P41" s="96" t="e">
        <f>SUM(P30:P40)</f>
        <v>#DIV/0!</v>
      </c>
      <c r="Q41" s="100"/>
      <c r="R41" s="111" t="e">
        <f>SUM(R30:R40)</f>
        <v>#DIV/0!</v>
      </c>
      <c r="S41" s="79" t="e">
        <f t="shared" si="12"/>
        <v>#DIV/0!</v>
      </c>
      <c r="T41" s="71" t="e">
        <f>coleoptera_density</f>
        <v>#DIV/0!</v>
      </c>
      <c r="U41" s="34" t="s">
        <v>102</v>
      </c>
      <c r="V41" s="2"/>
    </row>
    <row r="42" spans="1:22" ht="12.75">
      <c r="A42" t="s">
        <v>75</v>
      </c>
      <c r="S42" s="64" t="e">
        <f t="shared" si="12"/>
        <v>#DIV/0!</v>
      </c>
      <c r="T42" s="71" t="e">
        <f>amphipoda_density</f>
        <v>#DIV/0!</v>
      </c>
      <c r="U42" s="34" t="s">
        <v>162</v>
      </c>
      <c r="V42" s="2"/>
    </row>
    <row r="43" spans="1:22" ht="12.75">
      <c r="A43" t="s">
        <v>129</v>
      </c>
      <c r="S43" s="64" t="e">
        <f t="shared" si="12"/>
        <v>#DIV/0!</v>
      </c>
      <c r="T43" s="71" t="e">
        <f>isopoda_density</f>
        <v>#DIV/0!</v>
      </c>
      <c r="U43" s="34" t="s">
        <v>163</v>
      </c>
      <c r="V43" s="2"/>
    </row>
    <row r="44" spans="1:22" ht="12.75">
      <c r="A44" t="s">
        <v>76</v>
      </c>
      <c r="J44" t="s">
        <v>87</v>
      </c>
      <c r="S44" s="64" t="e">
        <f t="shared" si="12"/>
        <v>#DIV/0!</v>
      </c>
      <c r="T44" s="71" t="e">
        <f>decapoda_density</f>
        <v>#DIV/0!</v>
      </c>
      <c r="U44" s="34" t="s">
        <v>164</v>
      </c>
      <c r="V44" s="2"/>
    </row>
    <row r="45" spans="2:22" ht="12.75">
      <c r="B45" t="s">
        <v>77</v>
      </c>
      <c r="J45" t="s">
        <v>140</v>
      </c>
      <c r="S45" s="64" t="e">
        <f t="shared" si="12"/>
        <v>#DIV/0!</v>
      </c>
      <c r="T45" s="71" t="e">
        <f>gastropoda_density</f>
        <v>#DIV/0!</v>
      </c>
      <c r="U45" s="34" t="s">
        <v>153</v>
      </c>
      <c r="V45" s="2"/>
    </row>
    <row r="46" spans="2:22" ht="12.75">
      <c r="B46" t="s">
        <v>78</v>
      </c>
      <c r="J46" t="s">
        <v>82</v>
      </c>
      <c r="S46" s="64" t="e">
        <f t="shared" si="12"/>
        <v>#DIV/0!</v>
      </c>
      <c r="T46" s="71" t="e">
        <f>pelecypoda_density</f>
        <v>#DIV/0!</v>
      </c>
      <c r="U46" s="34" t="s">
        <v>154</v>
      </c>
      <c r="V46" s="2"/>
    </row>
    <row r="47" spans="2:22" ht="12.75">
      <c r="B47" t="s">
        <v>79</v>
      </c>
      <c r="J47" t="s">
        <v>83</v>
      </c>
      <c r="S47" s="64" t="e">
        <f t="shared" si="12"/>
        <v>#DIV/0!</v>
      </c>
      <c r="T47" s="71" t="e">
        <f>oligochaeta_density</f>
        <v>#DIV/0!</v>
      </c>
      <c r="U47" s="2" t="s">
        <v>123</v>
      </c>
      <c r="V47" s="2"/>
    </row>
    <row r="48" spans="2:22" ht="12.75">
      <c r="B48" t="s">
        <v>80</v>
      </c>
      <c r="J48" t="s">
        <v>84</v>
      </c>
      <c r="S48" s="64" t="e">
        <f t="shared" si="12"/>
        <v>#DIV/0!</v>
      </c>
      <c r="T48" s="71" t="e">
        <f>hirudinea_density</f>
        <v>#DIV/0!</v>
      </c>
      <c r="U48" s="34" t="s">
        <v>155</v>
      </c>
      <c r="V48" s="2"/>
    </row>
    <row r="49" spans="2:22" ht="12.75">
      <c r="B49" t="s">
        <v>81</v>
      </c>
      <c r="J49" t="s">
        <v>85</v>
      </c>
      <c r="S49" s="64" t="e">
        <f t="shared" si="12"/>
        <v>#DIV/0!</v>
      </c>
      <c r="T49" s="71" t="e">
        <f>lepidoptera_density+hemiptera_density+O73+O74</f>
        <v>#DIV/0!</v>
      </c>
      <c r="U49" s="34" t="s">
        <v>191</v>
      </c>
      <c r="V49" s="2"/>
    </row>
    <row r="50" spans="1:22" ht="12.75">
      <c r="A50" s="19" t="s">
        <v>86</v>
      </c>
      <c r="S50" s="64" t="e">
        <f t="shared" si="12"/>
        <v>#DIV/0!</v>
      </c>
      <c r="T50" s="72" t="e">
        <f>SUM(T34:T49)</f>
        <v>#DIV/0!</v>
      </c>
      <c r="U50" s="34" t="s">
        <v>128</v>
      </c>
      <c r="V50" s="2"/>
    </row>
    <row r="51" spans="19:21" ht="12.75">
      <c r="S51" s="75" t="e">
        <f>percent_other_diptera+percent_odonota+percent_megaloptera+percent_amphipoda+percent_isopoda+percent_decapoda+percent_gastropoda+percent_pelecypoda+percent_hirudinea+percent_other_misc</f>
        <v>#DIV/0!</v>
      </c>
      <c r="T51" s="2" t="e">
        <f>Other_diptera+odonota_density+megaloptera_density+amphipoda_density+isopoda_density+decapoda_density+gastropoda_density+pelecypoda_density+hirudinea_density+other_misc_density</f>
        <v>#DIV/0!</v>
      </c>
      <c r="U51" t="s">
        <v>189</v>
      </c>
    </row>
    <row r="52" spans="1:26" ht="12.75">
      <c r="A52" t="s">
        <v>88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X52" s="37"/>
      <c r="Y52" s="27"/>
      <c r="Z52" s="27"/>
    </row>
    <row r="53" spans="2:23" ht="12.75">
      <c r="B53" s="157" t="s">
        <v>196</v>
      </c>
      <c r="C53" s="158"/>
      <c r="D53" s="158"/>
      <c r="E53" s="159">
        <f>river</f>
        <v>0</v>
      </c>
      <c r="F53" s="159"/>
      <c r="G53" s="159"/>
      <c r="H53" s="159"/>
      <c r="I53" s="159"/>
      <c r="J53" s="77" t="s">
        <v>197</v>
      </c>
      <c r="K53" s="159">
        <f>site_num</f>
        <v>0</v>
      </c>
      <c r="L53" s="159"/>
      <c r="M53" s="159"/>
      <c r="N53" s="159"/>
      <c r="O53" s="77" t="s">
        <v>198</v>
      </c>
      <c r="P53" s="176">
        <f>sample_date</f>
        <v>0</v>
      </c>
      <c r="Q53" s="176"/>
      <c r="S53" s="173" t="s">
        <v>168</v>
      </c>
      <c r="T53" s="174"/>
      <c r="U53" s="36" t="s">
        <v>169</v>
      </c>
      <c r="W53" s="37"/>
    </row>
    <row r="54" spans="19:20" ht="12.75">
      <c r="S54" s="2" t="s">
        <v>188</v>
      </c>
      <c r="T54" s="73" t="e">
        <f>total_density*num_squares_on_tray/num_squares_picked</f>
        <v>#DIV/0!</v>
      </c>
    </row>
    <row r="55" spans="1:21" ht="12.75">
      <c r="A55" s="4" t="s">
        <v>1</v>
      </c>
      <c r="B55" s="4"/>
      <c r="C55" s="5">
        <v>1</v>
      </c>
      <c r="D55" s="5">
        <v>2</v>
      </c>
      <c r="E55" s="5">
        <v>3</v>
      </c>
      <c r="J55" s="4" t="s">
        <v>2</v>
      </c>
      <c r="K55" s="4"/>
      <c r="L55" s="5">
        <v>1</v>
      </c>
      <c r="M55" s="5">
        <v>2</v>
      </c>
      <c r="N55" s="5">
        <v>3</v>
      </c>
      <c r="S55" s="2" t="s">
        <v>130</v>
      </c>
      <c r="T55" s="73" t="e">
        <f>total_richness</f>
        <v>#DIV/0!</v>
      </c>
      <c r="U55" t="s">
        <v>144</v>
      </c>
    </row>
    <row r="56" spans="1:21" ht="39" thickBot="1">
      <c r="A56" s="116" t="s">
        <v>6</v>
      </c>
      <c r="B56" s="5" t="s">
        <v>3</v>
      </c>
      <c r="C56" s="5" t="s">
        <v>4</v>
      </c>
      <c r="D56" s="5" t="s">
        <v>4</v>
      </c>
      <c r="E56" s="5" t="s">
        <v>4</v>
      </c>
      <c r="F56" s="117" t="s">
        <v>202</v>
      </c>
      <c r="G56" s="117" t="s">
        <v>203</v>
      </c>
      <c r="H56" s="5" t="s">
        <v>5</v>
      </c>
      <c r="I56" s="4" t="s">
        <v>178</v>
      </c>
      <c r="J56" s="116" t="s">
        <v>6</v>
      </c>
      <c r="K56" s="5" t="s">
        <v>3</v>
      </c>
      <c r="L56" s="5" t="s">
        <v>4</v>
      </c>
      <c r="M56" s="5" t="s">
        <v>4</v>
      </c>
      <c r="N56" s="5" t="s">
        <v>4</v>
      </c>
      <c r="O56" s="117" t="s">
        <v>202</v>
      </c>
      <c r="P56" s="117" t="s">
        <v>204</v>
      </c>
      <c r="Q56" s="5" t="s">
        <v>5</v>
      </c>
      <c r="R56" s="124" t="s">
        <v>178</v>
      </c>
      <c r="S56" s="2" t="s">
        <v>133</v>
      </c>
      <c r="T56" s="73" t="e">
        <f>ephemeroptera_richness+plecoptera_richness+trichoptera_richness</f>
        <v>#DIV/0!</v>
      </c>
      <c r="U56" t="s">
        <v>144</v>
      </c>
    </row>
    <row r="57" spans="1:21" ht="12.75">
      <c r="A57" s="102" t="s">
        <v>139</v>
      </c>
      <c r="B57" s="118"/>
      <c r="C57" s="118"/>
      <c r="D57" s="118"/>
      <c r="E57" s="118"/>
      <c r="F57" s="118"/>
      <c r="G57" s="118"/>
      <c r="H57" s="119"/>
      <c r="I57" s="120"/>
      <c r="J57" s="102" t="s">
        <v>89</v>
      </c>
      <c r="K57" s="118"/>
      <c r="L57" s="118"/>
      <c r="M57" s="118"/>
      <c r="N57" s="118"/>
      <c r="O57" s="119"/>
      <c r="P57" s="119"/>
      <c r="Q57" s="114"/>
      <c r="R57" s="120"/>
      <c r="S57" s="80" t="s">
        <v>131</v>
      </c>
      <c r="T57" s="69" t="e">
        <f>(O79*100)/O77</f>
        <v>#DIV/0!</v>
      </c>
      <c r="U57" t="s">
        <v>144</v>
      </c>
    </row>
    <row r="58" spans="1:21" ht="12.75">
      <c r="A58" s="125" t="s">
        <v>90</v>
      </c>
      <c r="B58" s="23">
        <v>3</v>
      </c>
      <c r="C58" s="31"/>
      <c r="D58" s="31"/>
      <c r="E58" s="31"/>
      <c r="F58" s="91" t="e">
        <f>(C58+D58+E58)/$K$6</f>
        <v>#DIV/0!</v>
      </c>
      <c r="G58" s="91" t="e">
        <f>B58*F58</f>
        <v>#DIV/0!</v>
      </c>
      <c r="H58" s="23" t="s">
        <v>46</v>
      </c>
      <c r="I58" s="108" t="e">
        <f>SUM((IF(C58&gt;0,1,0))+(IF(D58&gt;0,1,0))+(IF(E58&gt;0,1,0)))/num_replicates</f>
        <v>#DIV/0!</v>
      </c>
      <c r="J58" s="107" t="s">
        <v>93</v>
      </c>
      <c r="K58" s="23">
        <v>7</v>
      </c>
      <c r="L58" s="31"/>
      <c r="M58" s="31"/>
      <c r="N58" s="31"/>
      <c r="O58" s="91" t="e">
        <f>(L58+M58+N58)/$K$6</f>
        <v>#DIV/0!</v>
      </c>
      <c r="P58" s="91" t="e">
        <f>K58*O58</f>
        <v>#DIV/0!</v>
      </c>
      <c r="Q58" s="23" t="s">
        <v>94</v>
      </c>
      <c r="R58" s="108" t="e">
        <f>SUM((IF(L58&gt;0,1,0))+(IF(M58&gt;0,1,0))+(IF(N58&gt;0,1,0)))/num_replicates</f>
        <v>#DIV/0!</v>
      </c>
      <c r="S58" s="80" t="s">
        <v>132</v>
      </c>
      <c r="T58" s="69" t="e">
        <f>(O80*100)/O77</f>
        <v>#DIV/0!</v>
      </c>
      <c r="U58" t="s">
        <v>144</v>
      </c>
    </row>
    <row r="59" spans="1:21" ht="12.75">
      <c r="A59" s="125" t="s">
        <v>91</v>
      </c>
      <c r="B59" s="23">
        <v>6</v>
      </c>
      <c r="C59" s="31"/>
      <c r="D59" s="31"/>
      <c r="E59" s="31"/>
      <c r="F59" s="91" t="e">
        <f>(C59+D59+E59)/$K$6</f>
        <v>#DIV/0!</v>
      </c>
      <c r="G59" s="91" t="e">
        <f>B59*F59</f>
        <v>#DIV/0!</v>
      </c>
      <c r="H59" s="23" t="s">
        <v>46</v>
      </c>
      <c r="I59" s="108" t="e">
        <f>SUM((IF(C59&gt;0,1,0))+(IF(D59&gt;0,1,0))+(IF(E59&gt;0,1,0)))/num_replicates</f>
        <v>#DIV/0!</v>
      </c>
      <c r="J59" s="107"/>
      <c r="K59" s="23"/>
      <c r="L59" s="31"/>
      <c r="M59" s="31"/>
      <c r="N59" s="31"/>
      <c r="O59" s="91" t="e">
        <f>(L59+M59+N59)/$K$6</f>
        <v>#DIV/0!</v>
      </c>
      <c r="P59" s="91" t="e">
        <f>K59*O59</f>
        <v>#DIV/0!</v>
      </c>
      <c r="Q59" s="23"/>
      <c r="R59" s="108" t="e">
        <f>SUM((IF(L59&gt;0,1,0))+(IF(M59&gt;0,1,0))+(IF(N59&gt;0,1,0)))/num_replicates</f>
        <v>#DIV/0!</v>
      </c>
      <c r="S59" s="80" t="s">
        <v>134</v>
      </c>
      <c r="T59" s="64" t="e">
        <f>(O68*100)/O77</f>
        <v>#DIV/0!</v>
      </c>
      <c r="U59" t="s">
        <v>145</v>
      </c>
    </row>
    <row r="60" spans="1:21" ht="12.75">
      <c r="A60" s="125"/>
      <c r="B60" s="23"/>
      <c r="C60" s="31"/>
      <c r="D60" s="31"/>
      <c r="E60" s="31"/>
      <c r="F60" s="91" t="e">
        <f>(C60+D60+E60)/$K$6</f>
        <v>#DIV/0!</v>
      </c>
      <c r="G60" s="91" t="e">
        <f>B60*F60</f>
        <v>#DIV/0!</v>
      </c>
      <c r="H60" s="23"/>
      <c r="I60" s="108" t="e">
        <f>SUM((IF(C60&gt;0,1,0))+(IF(D60&gt;0,1,0))+(IF(E60&gt;0,1,0)))/num_replicates</f>
        <v>#DIV/0!</v>
      </c>
      <c r="J60" s="107"/>
      <c r="K60" s="23"/>
      <c r="L60" s="31"/>
      <c r="M60" s="31"/>
      <c r="N60" s="31"/>
      <c r="O60" s="91" t="e">
        <f>(L60+M60+N60)/$K$6</f>
        <v>#DIV/0!</v>
      </c>
      <c r="P60" s="91" t="e">
        <f>K60*O60</f>
        <v>#DIV/0!</v>
      </c>
      <c r="Q60" s="23"/>
      <c r="R60" s="108" t="e">
        <f>SUM((IF(L60&gt;0,1,0))+(IF(M60&gt;0,1,0))+(IF(N60&gt;0,1,0)))/num_replicates</f>
        <v>#DIV/0!</v>
      </c>
      <c r="S60" s="80" t="s">
        <v>136</v>
      </c>
      <c r="T60" s="64" t="e">
        <f>(O41*100)/O77</f>
        <v>#DIV/0!</v>
      </c>
      <c r="U60" t="s">
        <v>145</v>
      </c>
    </row>
    <row r="61" spans="1:21" ht="13.5" thickBot="1">
      <c r="A61" s="125"/>
      <c r="B61" s="23"/>
      <c r="C61" s="31"/>
      <c r="D61" s="31"/>
      <c r="E61" s="31"/>
      <c r="F61" s="91" t="e">
        <f>(C61+D61+E61)/$K$6</f>
        <v>#DIV/0!</v>
      </c>
      <c r="G61" s="91" t="e">
        <f>B61*F61</f>
        <v>#DIV/0!</v>
      </c>
      <c r="H61" s="23"/>
      <c r="I61" s="108" t="e">
        <f>SUM((IF(C61&gt;0,1,0))+(IF(D61&gt;0,1,0))+(IF(E61&gt;0,1,0)))/num_replicates</f>
        <v>#DIV/0!</v>
      </c>
      <c r="J61" s="110" t="s">
        <v>95</v>
      </c>
      <c r="K61" s="94"/>
      <c r="L61" s="94"/>
      <c r="M61" s="94"/>
      <c r="N61" s="94"/>
      <c r="O61" s="95" t="e">
        <f>SUM(O58:O60)</f>
        <v>#DIV/0!</v>
      </c>
      <c r="P61" s="95" t="e">
        <f>SUM(P58:P60)</f>
        <v>#DIV/0!</v>
      </c>
      <c r="Q61" s="97"/>
      <c r="R61" s="111" t="e">
        <f>SUM(R58:R60)</f>
        <v>#DIV/0!</v>
      </c>
      <c r="S61" s="80" t="s">
        <v>137</v>
      </c>
      <c r="T61" s="64" t="e">
        <f>(O33*100)/O77</f>
        <v>#DIV/0!</v>
      </c>
      <c r="U61" t="s">
        <v>145</v>
      </c>
    </row>
    <row r="62" spans="1:21" ht="13.5" thickBot="1">
      <c r="A62" s="110" t="s">
        <v>92</v>
      </c>
      <c r="B62" s="94"/>
      <c r="C62" s="94"/>
      <c r="D62" s="94"/>
      <c r="E62" s="94"/>
      <c r="F62" s="95" t="e">
        <f>SUM(F58:F61)</f>
        <v>#DIV/0!</v>
      </c>
      <c r="G62" s="95" t="e">
        <f>SUM(G58:G61)</f>
        <v>#DIV/0!</v>
      </c>
      <c r="H62" s="126"/>
      <c r="I62" s="111" t="e">
        <f>SUM(I58:I61)</f>
        <v>#DIV/0!</v>
      </c>
      <c r="J62" s="102" t="s">
        <v>97</v>
      </c>
      <c r="K62" s="103"/>
      <c r="L62" s="103"/>
      <c r="M62" s="103"/>
      <c r="N62" s="103"/>
      <c r="O62" s="104"/>
      <c r="P62" s="104"/>
      <c r="Q62" s="119"/>
      <c r="R62" s="106"/>
      <c r="S62" s="80" t="s">
        <v>135</v>
      </c>
      <c r="T62" s="65" t="e">
        <f>P77/O77</f>
        <v>#DIV/0!</v>
      </c>
      <c r="U62" t="s">
        <v>145</v>
      </c>
    </row>
    <row r="63" spans="1:21" ht="12.75">
      <c r="A63" s="102" t="s">
        <v>96</v>
      </c>
      <c r="B63" s="103"/>
      <c r="C63" s="103"/>
      <c r="D63" s="103"/>
      <c r="E63" s="103"/>
      <c r="F63" s="103"/>
      <c r="G63" s="103"/>
      <c r="H63" s="119"/>
      <c r="I63" s="120"/>
      <c r="J63" s="80" t="s">
        <v>99</v>
      </c>
      <c r="K63" s="23">
        <v>5</v>
      </c>
      <c r="L63" s="31"/>
      <c r="M63" s="31"/>
      <c r="N63" s="31"/>
      <c r="O63" s="91" t="e">
        <f>(L63+M63+N63)/$K$6</f>
        <v>#DIV/0!</v>
      </c>
      <c r="P63" s="91" t="e">
        <f>K63*O63</f>
        <v>#DIV/0!</v>
      </c>
      <c r="Q63" s="23" t="s">
        <v>12</v>
      </c>
      <c r="R63" s="108" t="e">
        <f>SUM((IF(L63&gt;0,1,0))+(IF(M63&gt;0,1,0))+(IF(N63&gt;0,1,0)))/num_replicates</f>
        <v>#DIV/0!</v>
      </c>
      <c r="S63" s="80" t="s">
        <v>141</v>
      </c>
      <c r="T63" s="69" t="e">
        <f>(O81*100)/O77</f>
        <v>#DIV/0!</v>
      </c>
      <c r="U63" t="s">
        <v>145</v>
      </c>
    </row>
    <row r="64" spans="1:21" ht="12.75">
      <c r="A64" s="125" t="s">
        <v>98</v>
      </c>
      <c r="B64" s="23">
        <v>5</v>
      </c>
      <c r="C64" s="31"/>
      <c r="D64" s="31"/>
      <c r="E64" s="31"/>
      <c r="F64" s="91" t="e">
        <f>(C64+D64+E64)/$K$6</f>
        <v>#DIV/0!</v>
      </c>
      <c r="G64" s="91" t="e">
        <f>B64*F64</f>
        <v>#DIV/0!</v>
      </c>
      <c r="H64" s="23" t="s">
        <v>33</v>
      </c>
      <c r="I64" s="108" t="e">
        <f>SUM((IF(C64&gt;0,1,0))+(IF(D64&gt;0,1,0))+(IF(E64&gt;0,1,0)))/num_replicates</f>
        <v>#DIV/0!</v>
      </c>
      <c r="J64" s="80"/>
      <c r="K64" s="23"/>
      <c r="L64" s="31"/>
      <c r="M64" s="31"/>
      <c r="N64" s="31"/>
      <c r="O64" s="91" t="e">
        <f>(L64+M64+N64)/$K$6</f>
        <v>#DIV/0!</v>
      </c>
      <c r="P64" s="91" t="e">
        <f>K64*O64</f>
        <v>#DIV/0!</v>
      </c>
      <c r="Q64" s="23"/>
      <c r="R64" s="108" t="e">
        <f>SUM((IF(L64&gt;0,1,0))+(IF(M64&gt;0,1,0))+(IF(N64&gt;0,1,0)))/num_replicates</f>
        <v>#DIV/0!</v>
      </c>
      <c r="S64" s="80" t="s">
        <v>142</v>
      </c>
      <c r="T64" s="69" t="e">
        <f>(MAX(F10:F24,F27:F37,F58:F61,F64:F66,F69:F73,F76:F86,F89:F93,O10:O27,O30:O40,O58:O60,O63:O65,O68:O74)*100)/O77</f>
        <v>#DIV/0!</v>
      </c>
      <c r="U64" t="s">
        <v>145</v>
      </c>
    </row>
    <row r="65" spans="1:21" ht="12.75">
      <c r="A65" s="125"/>
      <c r="B65" s="23"/>
      <c r="C65" s="31"/>
      <c r="D65" s="31"/>
      <c r="E65" s="31"/>
      <c r="F65" s="91" t="e">
        <f>(C65+D65+E65)/$K$6</f>
        <v>#DIV/0!</v>
      </c>
      <c r="G65" s="91" t="e">
        <f>B65*F65</f>
        <v>#DIV/0!</v>
      </c>
      <c r="H65" s="23"/>
      <c r="I65" s="108" t="e">
        <f>SUM((IF(C65&gt;0,1,0))+(IF(D65&gt;0,1,0))+(IF(E65&gt;0,1,0)))/num_replicates</f>
        <v>#DIV/0!</v>
      </c>
      <c r="J65" s="80"/>
      <c r="K65" s="23"/>
      <c r="L65" s="31"/>
      <c r="M65" s="31"/>
      <c r="N65" s="31"/>
      <c r="O65" s="91" t="e">
        <f>(L65+M65+N65)/$K$6</f>
        <v>#DIV/0!</v>
      </c>
      <c r="P65" s="91" t="e">
        <f>K65*O65</f>
        <v>#DIV/0!</v>
      </c>
      <c r="Q65" s="23"/>
      <c r="R65" s="108" t="e">
        <f>SUM((IF(L65&gt;0,1,0))+(IF(M65&gt;0,1,0))+(IF(N65&gt;0,1,0)))/num_replicates</f>
        <v>#DIV/0!</v>
      </c>
      <c r="S65" s="80" t="s">
        <v>167</v>
      </c>
      <c r="T65" s="64" t="e">
        <f>(O13*100)/O28</f>
        <v>#DIV/0!</v>
      </c>
      <c r="U65" t="s">
        <v>145</v>
      </c>
    </row>
    <row r="66" spans="1:21" ht="13.5" thickBot="1">
      <c r="A66" s="125"/>
      <c r="B66" s="23"/>
      <c r="C66" s="31"/>
      <c r="D66" s="31"/>
      <c r="E66" s="31"/>
      <c r="F66" s="91" t="e">
        <f>(C66+D66+E66)/$K$6</f>
        <v>#DIV/0!</v>
      </c>
      <c r="G66" s="91" t="e">
        <f>B66*F66</f>
        <v>#DIV/0!</v>
      </c>
      <c r="H66" s="23"/>
      <c r="I66" s="108" t="e">
        <f>SUM((IF(C66&gt;0,1,0))+(IF(D66&gt;0,1,0))+(IF(E66&gt;0,1,0)))/num_replicates</f>
        <v>#DIV/0!</v>
      </c>
      <c r="J66" s="101" t="s">
        <v>101</v>
      </c>
      <c r="K66" s="94"/>
      <c r="L66" s="94"/>
      <c r="M66" s="94"/>
      <c r="N66" s="94"/>
      <c r="O66" s="95" t="e">
        <f>SUM(O63:O65)</f>
        <v>#DIV/0!</v>
      </c>
      <c r="P66" s="95" t="e">
        <f>SUM(P63:P65)</f>
        <v>#DIV/0!</v>
      </c>
      <c r="Q66" s="97"/>
      <c r="R66" s="111" t="e">
        <f>SUM(R63:R65)</f>
        <v>#DIV/0!</v>
      </c>
      <c r="S66" s="81" t="s">
        <v>146</v>
      </c>
      <c r="T66" s="66" t="e">
        <f>(O28*100)/O77</f>
        <v>#DIV/0!</v>
      </c>
      <c r="U66" t="s">
        <v>144</v>
      </c>
    </row>
    <row r="67" spans="1:21" ht="13.5" thickBot="1">
      <c r="A67" s="110" t="s">
        <v>100</v>
      </c>
      <c r="B67" s="94"/>
      <c r="C67" s="94"/>
      <c r="D67" s="94"/>
      <c r="E67" s="94"/>
      <c r="F67" s="95" t="e">
        <f>SUM(F64:F66)</f>
        <v>#DIV/0!</v>
      </c>
      <c r="G67" s="95" t="e">
        <f>SUM(G64:G66)</f>
        <v>#DIV/0!</v>
      </c>
      <c r="H67" s="97"/>
      <c r="I67" s="112" t="e">
        <f>SUM(I64:I66)</f>
        <v>#DIV/0!</v>
      </c>
      <c r="J67" s="102" t="s">
        <v>104</v>
      </c>
      <c r="K67" s="103"/>
      <c r="L67" s="103"/>
      <c r="M67" s="103"/>
      <c r="N67" s="103"/>
      <c r="O67" s="104"/>
      <c r="P67" s="104"/>
      <c r="Q67" s="119"/>
      <c r="R67" s="106"/>
      <c r="S67" s="82"/>
      <c r="T67" s="67" t="e">
        <f>(100-((ABS(percent_ephemeroptera-40)+ABS(percent_plecoptera-5)+ABS(percent_trichoptera-10)+ABS(percent_chironomidae-20)+ABS(percent_coleoptera-10)+ABS(percent_oligochaeta-5)+ABS((percent_other_diptera+percent_odonota+percent_megaloptera+percent_amphipoda+percent_isopoda+percent_decapoda+percent_gastropoda+percent_pelecypoda+percent_hirudinea+percent_other_misc)-10))*0.5))/100</f>
        <v>#DIV/0!</v>
      </c>
      <c r="U67" t="s">
        <v>144</v>
      </c>
    </row>
    <row r="68" spans="1:21" ht="12.75">
      <c r="A68" s="102" t="s">
        <v>102</v>
      </c>
      <c r="B68" s="103" t="s">
        <v>103</v>
      </c>
      <c r="C68" s="103"/>
      <c r="D68" s="103"/>
      <c r="E68" s="103"/>
      <c r="F68" s="103"/>
      <c r="G68" s="103"/>
      <c r="H68" s="119"/>
      <c r="I68" s="120"/>
      <c r="J68" s="107" t="s">
        <v>123</v>
      </c>
      <c r="K68" s="23">
        <v>10</v>
      </c>
      <c r="L68" s="31"/>
      <c r="M68" s="31"/>
      <c r="N68" s="31"/>
      <c r="O68" s="91" t="e">
        <f aca="true" t="shared" si="13" ref="O68:O74">(L68+M68+N68)/$K$6</f>
        <v>#DIV/0!</v>
      </c>
      <c r="P68" s="91" t="e">
        <f aca="true" t="shared" si="14" ref="P68:P74">K68*O68</f>
        <v>#DIV/0!</v>
      </c>
      <c r="Q68" s="23" t="s">
        <v>12</v>
      </c>
      <c r="R68" s="108" t="e">
        <f aca="true" t="shared" si="15" ref="R68:R74">SUM((IF(L68&gt;0,1,0))+(IF(M68&gt;0,1,0))+(IF(N68&gt;0,1,0)))/num_replicates</f>
        <v>#DIV/0!</v>
      </c>
      <c r="S68" s="83" t="s">
        <v>171</v>
      </c>
      <c r="T68" s="92" t="e">
        <f>(ephemeroptera_density+plecoptera_density+trichoptera_density)/Chironomidae_density</f>
        <v>#DIV/0!</v>
      </c>
      <c r="U68" t="s">
        <v>144</v>
      </c>
    </row>
    <row r="69" spans="1:21" ht="12.75">
      <c r="A69" s="125" t="s">
        <v>174</v>
      </c>
      <c r="B69" s="23">
        <v>7</v>
      </c>
      <c r="C69" s="31"/>
      <c r="D69" s="31"/>
      <c r="E69" s="31"/>
      <c r="F69" s="91" t="e">
        <f>(C69+D69+E69)/$K$6</f>
        <v>#DIV/0!</v>
      </c>
      <c r="G69" s="91" t="e">
        <f>B69*F69</f>
        <v>#DIV/0!</v>
      </c>
      <c r="H69" s="23" t="s">
        <v>46</v>
      </c>
      <c r="I69" s="108" t="e">
        <f>SUM((IF(C69&gt;0,1,0))+(IF(D69&gt;0,1,0))+(IF(E69&gt;0,1,0)))/num_replicates</f>
        <v>#DIV/0!</v>
      </c>
      <c r="J69" s="107" t="s">
        <v>125</v>
      </c>
      <c r="K69" s="23">
        <v>10</v>
      </c>
      <c r="L69" s="31"/>
      <c r="M69" s="31"/>
      <c r="N69" s="31"/>
      <c r="O69" s="91" t="e">
        <f t="shared" si="13"/>
        <v>#DIV/0!</v>
      </c>
      <c r="P69" s="91" t="e">
        <f t="shared" si="14"/>
        <v>#DIV/0!</v>
      </c>
      <c r="Q69" s="23" t="s">
        <v>46</v>
      </c>
      <c r="R69" s="108" t="e">
        <f t="shared" si="15"/>
        <v>#DIV/0!</v>
      </c>
      <c r="S69" s="84" t="s">
        <v>186</v>
      </c>
      <c r="T69" s="65" t="e">
        <f>O83/O81</f>
        <v>#DIV/0!</v>
      </c>
      <c r="U69" t="s">
        <v>144</v>
      </c>
    </row>
    <row r="70" spans="1:20" ht="12.75">
      <c r="A70" s="125" t="s">
        <v>105</v>
      </c>
      <c r="B70" s="23">
        <v>4</v>
      </c>
      <c r="C70" s="31"/>
      <c r="D70" s="31"/>
      <c r="E70" s="31"/>
      <c r="F70" s="91" t="e">
        <f>(C70+D70+E70)/$K$6</f>
        <v>#DIV/0!</v>
      </c>
      <c r="G70" s="91" t="e">
        <f>B70*F70</f>
        <v>#DIV/0!</v>
      </c>
      <c r="H70" s="149" t="s">
        <v>31</v>
      </c>
      <c r="I70" s="108" t="e">
        <f>SUM((IF(C70&gt;0,1,0))+(IF(D70&gt;0,1,0))+(IF(E70&gt;0,1,0)))/num_replicates</f>
        <v>#DIV/0!</v>
      </c>
      <c r="J70" s="107" t="s">
        <v>124</v>
      </c>
      <c r="K70" s="23">
        <v>5</v>
      </c>
      <c r="L70" s="31"/>
      <c r="M70" s="31"/>
      <c r="N70" s="31"/>
      <c r="O70" s="91" t="e">
        <f t="shared" si="13"/>
        <v>#DIV/0!</v>
      </c>
      <c r="P70" s="91" t="e">
        <f t="shared" si="14"/>
        <v>#DIV/0!</v>
      </c>
      <c r="Q70" s="23" t="s">
        <v>27</v>
      </c>
      <c r="R70" s="108" t="e">
        <f t="shared" si="15"/>
        <v>#DIV/0!</v>
      </c>
      <c r="S70" s="84" t="s">
        <v>206</v>
      </c>
      <c r="T70" s="64" t="e">
        <f>(O82*100)/O77</f>
        <v>#DIV/0!</v>
      </c>
    </row>
    <row r="71" spans="1:21" ht="12.75">
      <c r="A71" s="125" t="s">
        <v>106</v>
      </c>
      <c r="B71" s="23">
        <v>3</v>
      </c>
      <c r="C71" s="31"/>
      <c r="D71" s="31"/>
      <c r="E71" s="31"/>
      <c r="F71" s="91" t="e">
        <f>(C71+D71+E71)/$K$6</f>
        <v>#DIV/0!</v>
      </c>
      <c r="G71" s="91" t="e">
        <f>B71*F71</f>
        <v>#DIV/0!</v>
      </c>
      <c r="H71" s="23" t="s">
        <v>27</v>
      </c>
      <c r="I71" s="108" t="e">
        <f>SUM((IF(C71&gt;0,1,0))+(IF(D71&gt;0,1,0))+(IF(E71&gt;0,1,0)))/num_replicates</f>
        <v>#DIV/0!</v>
      </c>
      <c r="J71" s="107" t="s">
        <v>126</v>
      </c>
      <c r="K71" s="23">
        <v>6</v>
      </c>
      <c r="L71" s="31"/>
      <c r="M71" s="31"/>
      <c r="N71" s="31"/>
      <c r="O71" s="91" t="e">
        <f t="shared" si="13"/>
        <v>#DIV/0!</v>
      </c>
      <c r="P71" s="91" t="e">
        <f t="shared" si="14"/>
        <v>#DIV/0!</v>
      </c>
      <c r="Q71" s="23" t="s">
        <v>20</v>
      </c>
      <c r="R71" s="108" t="e">
        <f t="shared" si="15"/>
        <v>#DIV/0!</v>
      </c>
      <c r="S71" s="84" t="s">
        <v>207</v>
      </c>
      <c r="T71" s="88" t="e">
        <f>(O83*100)/O77</f>
        <v>#DIV/0!</v>
      </c>
      <c r="U71" t="s">
        <v>144</v>
      </c>
    </row>
    <row r="72" spans="1:19" ht="12.75">
      <c r="A72" s="125" t="s">
        <v>175</v>
      </c>
      <c r="B72" s="23">
        <v>5</v>
      </c>
      <c r="C72" s="31"/>
      <c r="D72" s="31"/>
      <c r="E72" s="31"/>
      <c r="F72" s="91" t="e">
        <f>(C72+D72+E72)/$K$6</f>
        <v>#DIV/0!</v>
      </c>
      <c r="G72" s="91" t="e">
        <f>B72*F72</f>
        <v>#DIV/0!</v>
      </c>
      <c r="H72" s="23" t="s">
        <v>46</v>
      </c>
      <c r="I72" s="108" t="e">
        <f>SUM((IF(C72&gt;0,1,0))+(IF(D72&gt;0,1,0))+(IF(E72&gt;0,1,0)))/num_replicates</f>
        <v>#DIV/0!</v>
      </c>
      <c r="J72" s="107" t="s">
        <v>143</v>
      </c>
      <c r="K72" s="23">
        <v>8</v>
      </c>
      <c r="L72" s="31"/>
      <c r="M72" s="31"/>
      <c r="N72" s="31"/>
      <c r="O72" s="91" t="e">
        <f t="shared" si="13"/>
        <v>#DIV/0!</v>
      </c>
      <c r="P72" s="91" t="e">
        <f t="shared" si="14"/>
        <v>#DIV/0!</v>
      </c>
      <c r="Q72" s="23" t="s">
        <v>46</v>
      </c>
      <c r="R72" s="108" t="e">
        <f t="shared" si="15"/>
        <v>#DIV/0!</v>
      </c>
      <c r="S72" s="56"/>
    </row>
    <row r="73" spans="1:24" ht="12.75">
      <c r="A73" s="125" t="s">
        <v>176</v>
      </c>
      <c r="B73" s="23">
        <v>8</v>
      </c>
      <c r="C73" s="31"/>
      <c r="D73" s="31"/>
      <c r="E73" s="31"/>
      <c r="F73" s="91" t="e">
        <f>(C73+D73+E73)/$K$6</f>
        <v>#DIV/0!</v>
      </c>
      <c r="G73" s="91" t="e">
        <f>B73*F73</f>
        <v>#DIV/0!</v>
      </c>
      <c r="H73" s="23" t="s">
        <v>46</v>
      </c>
      <c r="I73" s="108" t="e">
        <f>SUM((IF(C73&gt;0,1,0))+(IF(D73&gt;0,1,0))+(IF(E73&gt;0,1,0)))/num_replicates</f>
        <v>#DIV/0!</v>
      </c>
      <c r="J73" s="107"/>
      <c r="K73" s="23"/>
      <c r="L73" s="31"/>
      <c r="M73" s="31"/>
      <c r="N73" s="31"/>
      <c r="O73" s="91" t="e">
        <f t="shared" si="13"/>
        <v>#DIV/0!</v>
      </c>
      <c r="P73" s="91" t="e">
        <f t="shared" si="14"/>
        <v>#DIV/0!</v>
      </c>
      <c r="Q73" s="23"/>
      <c r="R73" s="108" t="e">
        <f t="shared" si="15"/>
        <v>#DIV/0!</v>
      </c>
      <c r="X73" s="46"/>
    </row>
    <row r="74" spans="1:18" ht="13.5" thickBot="1">
      <c r="A74" s="110" t="s">
        <v>107</v>
      </c>
      <c r="B74" s="94"/>
      <c r="C74" s="94"/>
      <c r="D74" s="94"/>
      <c r="E74" s="94"/>
      <c r="F74" s="95" t="e">
        <f>SUM(F69:F73)</f>
        <v>#DIV/0!</v>
      </c>
      <c r="G74" s="95" t="e">
        <f>SUM(G69:G73)</f>
        <v>#DIV/0!</v>
      </c>
      <c r="H74" s="97"/>
      <c r="I74" s="111" t="e">
        <f>SUM(I69:I73)</f>
        <v>#DIV/0!</v>
      </c>
      <c r="J74" s="107" t="s">
        <v>127</v>
      </c>
      <c r="K74" s="23"/>
      <c r="L74" s="31"/>
      <c r="M74" s="31"/>
      <c r="N74" s="31"/>
      <c r="O74" s="91" t="e">
        <f t="shared" si="13"/>
        <v>#DIV/0!</v>
      </c>
      <c r="P74" s="91" t="e">
        <f t="shared" si="14"/>
        <v>#DIV/0!</v>
      </c>
      <c r="Q74" s="23"/>
      <c r="R74" s="108" t="e">
        <f t="shared" si="15"/>
        <v>#DIV/0!</v>
      </c>
    </row>
    <row r="75" spans="1:18" ht="13.5" thickBot="1">
      <c r="A75" s="102" t="s">
        <v>119</v>
      </c>
      <c r="B75" s="103"/>
      <c r="C75" s="103"/>
      <c r="D75" s="103"/>
      <c r="E75" s="103"/>
      <c r="F75" s="103"/>
      <c r="G75" s="103"/>
      <c r="H75" s="119"/>
      <c r="I75" s="120"/>
      <c r="J75" s="133" t="s">
        <v>190</v>
      </c>
      <c r="K75" s="134"/>
      <c r="L75" s="134"/>
      <c r="M75" s="134"/>
      <c r="N75" s="134"/>
      <c r="O75" s="138" t="e">
        <f>SUM(O68:O74)</f>
        <v>#DIV/0!</v>
      </c>
      <c r="P75" s="138" t="e">
        <f>SUM(P68:P74)</f>
        <v>#DIV/0!</v>
      </c>
      <c r="Q75" s="130"/>
      <c r="R75" s="139" t="e">
        <f>SUM(R68:R74)</f>
        <v>#DIV/0!</v>
      </c>
    </row>
    <row r="76" spans="1:18" ht="12.75">
      <c r="A76" s="125" t="s">
        <v>108</v>
      </c>
      <c r="B76" s="23">
        <v>3</v>
      </c>
      <c r="C76" s="31"/>
      <c r="D76" s="31"/>
      <c r="E76" s="31"/>
      <c r="F76" s="91" t="e">
        <f aca="true" t="shared" si="16" ref="F76:F86">(C76+D76+E76)/$K$6</f>
        <v>#DIV/0!</v>
      </c>
      <c r="G76" s="91" t="e">
        <f aca="true" t="shared" si="17" ref="G76:G86">B76*F76</f>
        <v>#DIV/0!</v>
      </c>
      <c r="H76" s="23" t="s">
        <v>46</v>
      </c>
      <c r="I76" s="93" t="e">
        <f aca="true" t="shared" si="18" ref="I76:I86">SUM((IF(C76&gt;0,1,0))+(IF(D76&gt;0,1,0))+(IF(E76&gt;0,1,0)))/num_replicates</f>
        <v>#DIV/0!</v>
      </c>
      <c r="J76" s="140" t="s">
        <v>211</v>
      </c>
      <c r="K76" s="132"/>
      <c r="L76" s="132"/>
      <c r="M76" s="132"/>
      <c r="N76" s="137"/>
      <c r="O76" s="144" t="s">
        <v>214</v>
      </c>
      <c r="P76" s="145" t="s">
        <v>213</v>
      </c>
      <c r="Q76" s="132"/>
      <c r="R76" s="146" t="s">
        <v>212</v>
      </c>
    </row>
    <row r="77" spans="1:18" ht="13.5" thickBot="1">
      <c r="A77" s="125" t="s">
        <v>109</v>
      </c>
      <c r="B77" s="23">
        <v>5</v>
      </c>
      <c r="C77" s="31"/>
      <c r="D77" s="31"/>
      <c r="E77" s="31"/>
      <c r="F77" s="91" t="e">
        <f t="shared" si="16"/>
        <v>#DIV/0!</v>
      </c>
      <c r="G77" s="91" t="e">
        <f t="shared" si="17"/>
        <v>#DIV/0!</v>
      </c>
      <c r="H77" s="23" t="s">
        <v>46</v>
      </c>
      <c r="I77" s="93" t="e">
        <f t="shared" si="18"/>
        <v>#DIV/0!</v>
      </c>
      <c r="J77" s="135" t="s">
        <v>210</v>
      </c>
      <c r="K77" s="136"/>
      <c r="L77" s="172"/>
      <c r="M77" s="172"/>
      <c r="N77" s="172"/>
      <c r="O77" s="141" t="e">
        <f>(F25+F38+O28+O41+F62+F67+F74+F87+F93+O61+O66+O75)</f>
        <v>#DIV/0!</v>
      </c>
      <c r="P77" s="141" t="e">
        <f>SUM(G25+G38+P28+P41+G62+G67+G74+G87+G93+P61+P66+P75)</f>
        <v>#DIV/0!</v>
      </c>
      <c r="Q77" s="143"/>
      <c r="R77" s="142" t="e">
        <f>+I25+I38+I62+I67+I74+I87+I93+R28+R41+R61+R66+R75</f>
        <v>#DIV/0!</v>
      </c>
    </row>
    <row r="78" spans="1:17" ht="13.5" thickBot="1">
      <c r="A78" s="125" t="s">
        <v>110</v>
      </c>
      <c r="B78" s="23">
        <v>8</v>
      </c>
      <c r="C78" s="31"/>
      <c r="D78" s="31"/>
      <c r="E78" s="31"/>
      <c r="F78" s="91" t="e">
        <f t="shared" si="16"/>
        <v>#DIV/0!</v>
      </c>
      <c r="G78" s="91" t="e">
        <f t="shared" si="17"/>
        <v>#DIV/0!</v>
      </c>
      <c r="H78" s="23" t="s">
        <v>46</v>
      </c>
      <c r="I78" s="108" t="e">
        <f t="shared" si="18"/>
        <v>#DIV/0!</v>
      </c>
      <c r="J78" s="155" t="s">
        <v>195</v>
      </c>
      <c r="K78" s="155"/>
      <c r="L78" s="155"/>
      <c r="M78" s="155"/>
      <c r="N78" s="155"/>
      <c r="O78" s="156"/>
      <c r="P78" s="56"/>
      <c r="Q78" s="56"/>
    </row>
    <row r="79" spans="1:18" ht="12.75">
      <c r="A79" s="125" t="s">
        <v>111</v>
      </c>
      <c r="B79" s="23">
        <v>3</v>
      </c>
      <c r="C79" s="31"/>
      <c r="D79" s="31"/>
      <c r="E79" s="31"/>
      <c r="F79" s="91" t="e">
        <f t="shared" si="16"/>
        <v>#DIV/0!</v>
      </c>
      <c r="G79" s="91" t="e">
        <f t="shared" si="17"/>
        <v>#DIV/0!</v>
      </c>
      <c r="H79" s="23" t="s">
        <v>46</v>
      </c>
      <c r="I79" s="108" t="e">
        <f t="shared" si="18"/>
        <v>#DIV/0!</v>
      </c>
      <c r="J79" s="162" t="s">
        <v>181</v>
      </c>
      <c r="K79" s="163"/>
      <c r="L79" s="163"/>
      <c r="M79" s="163"/>
      <c r="N79" s="163"/>
      <c r="O79" s="127" t="e">
        <f>+(O16/3)+(O22/2)+O24+(F28/2)+F32+F33+F58+F59+F69+F72+F73+F76+F77+F78+F79+F80+F81+F82+F83+F84+O30+O32+O33/5+O34+O36+(O37/3)+O69+O72</f>
        <v>#DIV/0!</v>
      </c>
      <c r="P79" s="57"/>
      <c r="Q79" s="57"/>
      <c r="R79" s="27"/>
    </row>
    <row r="80" spans="1:17" ht="12.75">
      <c r="A80" s="125" t="s">
        <v>112</v>
      </c>
      <c r="B80" s="23">
        <v>5</v>
      </c>
      <c r="C80" s="31"/>
      <c r="D80" s="31"/>
      <c r="E80" s="31"/>
      <c r="F80" s="91" t="e">
        <f t="shared" si="16"/>
        <v>#DIV/0!</v>
      </c>
      <c r="G80" s="91" t="e">
        <f t="shared" si="17"/>
        <v>#DIV/0!</v>
      </c>
      <c r="H80" s="23" t="s">
        <v>46</v>
      </c>
      <c r="I80" s="108" t="e">
        <f t="shared" si="18"/>
        <v>#DIV/0!</v>
      </c>
      <c r="J80" s="160" t="s">
        <v>182</v>
      </c>
      <c r="K80" s="164"/>
      <c r="L80" s="164"/>
      <c r="M80" s="164"/>
      <c r="N80" s="164"/>
      <c r="O80" s="128" t="e">
        <f>+(O14+O16+O17)/3+O15+O19+O21+O25+O33/5+O37/3+O58/2+F27+F29+F30+F31+F34+F35+F64+F70/3</f>
        <v>#DIV/0!</v>
      </c>
      <c r="P80" s="56"/>
      <c r="Q80" s="56"/>
    </row>
    <row r="81" spans="1:17" ht="12.75">
      <c r="A81" s="125" t="s">
        <v>113</v>
      </c>
      <c r="B81" s="23">
        <v>4</v>
      </c>
      <c r="C81" s="31"/>
      <c r="D81" s="31"/>
      <c r="E81" s="31"/>
      <c r="F81" s="91" t="e">
        <f t="shared" si="16"/>
        <v>#DIV/0!</v>
      </c>
      <c r="G81" s="91" t="e">
        <f t="shared" si="17"/>
        <v>#DIV/0!</v>
      </c>
      <c r="H81" s="23" t="s">
        <v>46</v>
      </c>
      <c r="I81" s="108" t="e">
        <f t="shared" si="18"/>
        <v>#DIV/0!</v>
      </c>
      <c r="J81" s="160" t="s">
        <v>187</v>
      </c>
      <c r="K81" s="164"/>
      <c r="L81" s="164"/>
      <c r="M81" s="164"/>
      <c r="N81" s="164"/>
      <c r="O81" s="128" t="e">
        <f>+F18+O10/2+O13+O20+O22/2+O33/5+O35+O71</f>
        <v>#DIV/0!</v>
      </c>
      <c r="P81" s="56"/>
      <c r="Q81" s="56"/>
    </row>
    <row r="82" spans="1:17" ht="12.75">
      <c r="A82" s="125" t="s">
        <v>114</v>
      </c>
      <c r="B82" s="23">
        <v>8</v>
      </c>
      <c r="C82" s="31"/>
      <c r="D82" s="31"/>
      <c r="E82" s="31"/>
      <c r="F82" s="91" t="e">
        <f t="shared" si="16"/>
        <v>#DIV/0!</v>
      </c>
      <c r="G82" s="91" t="e">
        <f t="shared" si="17"/>
        <v>#DIV/0!</v>
      </c>
      <c r="H82" s="23" t="s">
        <v>46</v>
      </c>
      <c r="I82" s="108" t="e">
        <f t="shared" si="18"/>
        <v>#DIV/0!</v>
      </c>
      <c r="J82" s="160" t="s">
        <v>184</v>
      </c>
      <c r="K82" s="165"/>
      <c r="L82" s="165"/>
      <c r="M82" s="165"/>
      <c r="N82" s="165"/>
      <c r="O82" s="128" t="e">
        <f>+F10/2+F11+F12+F13/2+F14+F15/2+F16+F17+F19+F20+F21+F22+F28/2+F70/3+F89+F90+O10/2+O14/3+(O16+O17)/3+O23+O33/5+O37/3+O58/2+O63+O68</f>
        <v>#DIV/0!</v>
      </c>
      <c r="P82" s="56"/>
      <c r="Q82" s="56"/>
    </row>
    <row r="83" spans="1:17" ht="12.75">
      <c r="A83" s="125" t="s">
        <v>115</v>
      </c>
      <c r="B83" s="23">
        <v>8</v>
      </c>
      <c r="C83" s="31"/>
      <c r="D83" s="31"/>
      <c r="E83" s="31"/>
      <c r="F83" s="91" t="e">
        <f t="shared" si="16"/>
        <v>#DIV/0!</v>
      </c>
      <c r="G83" s="91" t="e">
        <f t="shared" si="17"/>
        <v>#DIV/0!</v>
      </c>
      <c r="H83" s="23" t="s">
        <v>46</v>
      </c>
      <c r="I83" s="108" t="e">
        <f t="shared" si="18"/>
        <v>#DIV/0!</v>
      </c>
      <c r="J83" s="160" t="s">
        <v>183</v>
      </c>
      <c r="K83" s="161"/>
      <c r="L83" s="161"/>
      <c r="M83" s="161"/>
      <c r="N83" s="161"/>
      <c r="O83" s="128" t="e">
        <f>+F10/2+F13/2+F15/2+F70/3+F71+O11+O12+(O14+O17)/3+O18+O31+O33/5+O70</f>
        <v>#DIV/0!</v>
      </c>
      <c r="P83" s="56"/>
      <c r="Q83" s="56"/>
    </row>
    <row r="84" spans="1:17" ht="13.5" thickBot="1">
      <c r="A84" s="125" t="s">
        <v>116</v>
      </c>
      <c r="B84" s="23">
        <v>4</v>
      </c>
      <c r="C84" s="31"/>
      <c r="D84" s="31"/>
      <c r="E84" s="31"/>
      <c r="F84" s="91" t="e">
        <f t="shared" si="16"/>
        <v>#DIV/0!</v>
      </c>
      <c r="G84" s="91" t="e">
        <f t="shared" si="17"/>
        <v>#DIV/0!</v>
      </c>
      <c r="H84" s="23" t="s">
        <v>46</v>
      </c>
      <c r="I84" s="108" t="e">
        <f t="shared" si="18"/>
        <v>#DIV/0!</v>
      </c>
      <c r="J84" s="152" t="s">
        <v>194</v>
      </c>
      <c r="K84" s="153"/>
      <c r="L84" s="153"/>
      <c r="M84" s="153"/>
      <c r="N84" s="154"/>
      <c r="O84" s="129" t="e">
        <f>SUM(O79:O83)</f>
        <v>#DIV/0!</v>
      </c>
      <c r="P84" s="56"/>
      <c r="Q84" s="56"/>
    </row>
    <row r="85" spans="1:17" ht="12.75">
      <c r="A85" s="125"/>
      <c r="B85" s="23"/>
      <c r="C85" s="31"/>
      <c r="D85" s="31"/>
      <c r="E85" s="31"/>
      <c r="F85" s="91" t="e">
        <f t="shared" si="16"/>
        <v>#DIV/0!</v>
      </c>
      <c r="G85" s="91" t="e">
        <f t="shared" si="17"/>
        <v>#DIV/0!</v>
      </c>
      <c r="H85" s="23"/>
      <c r="I85" s="108" t="e">
        <f t="shared" si="18"/>
        <v>#DIV/0!</v>
      </c>
      <c r="J85" s="56"/>
      <c r="K85" s="56"/>
      <c r="L85" s="56"/>
      <c r="M85" s="56"/>
      <c r="N85" s="56"/>
      <c r="O85" s="56"/>
      <c r="P85" s="56"/>
      <c r="Q85" s="56"/>
    </row>
    <row r="86" spans="1:17" ht="12.75">
      <c r="A86" s="125"/>
      <c r="B86" s="23"/>
      <c r="C86" s="31"/>
      <c r="D86" s="31"/>
      <c r="E86" s="31"/>
      <c r="F86" s="91" t="e">
        <f t="shared" si="16"/>
        <v>#DIV/0!</v>
      </c>
      <c r="G86" s="91" t="e">
        <f t="shared" si="17"/>
        <v>#DIV/0!</v>
      </c>
      <c r="H86" s="23"/>
      <c r="I86" s="108" t="e">
        <f t="shared" si="18"/>
        <v>#DIV/0!</v>
      </c>
      <c r="J86" s="56"/>
      <c r="K86" s="56"/>
      <c r="L86" s="56"/>
      <c r="M86" s="56"/>
      <c r="N86" s="56"/>
      <c r="O86" s="56"/>
      <c r="P86" s="56"/>
      <c r="Q86" s="56"/>
    </row>
    <row r="87" spans="1:17" ht="13.5" thickBot="1">
      <c r="A87" s="110" t="s">
        <v>117</v>
      </c>
      <c r="B87" s="94"/>
      <c r="C87" s="94"/>
      <c r="D87" s="94"/>
      <c r="E87" s="94"/>
      <c r="F87" s="95" t="e">
        <f>SUM(F76:F86)</f>
        <v>#DIV/0!</v>
      </c>
      <c r="G87" s="95" t="e">
        <f>SUM(G76:G86)</f>
        <v>#DIV/0!</v>
      </c>
      <c r="H87" s="97"/>
      <c r="I87" s="111" t="e">
        <f>SUM(I76:I86)</f>
        <v>#DIV/0!</v>
      </c>
      <c r="J87" s="56"/>
      <c r="K87" s="56"/>
      <c r="L87" s="56"/>
      <c r="M87" s="56"/>
      <c r="N87" s="56"/>
      <c r="O87" s="56"/>
      <c r="P87" s="56"/>
      <c r="Q87" s="56"/>
    </row>
    <row r="88" spans="1:17" ht="12.75">
      <c r="A88" s="102" t="s">
        <v>118</v>
      </c>
      <c r="B88" s="103"/>
      <c r="C88" s="103"/>
      <c r="D88" s="103"/>
      <c r="E88" s="103"/>
      <c r="F88" s="103"/>
      <c r="G88" s="103"/>
      <c r="H88" s="119"/>
      <c r="I88" s="120"/>
      <c r="J88" s="56"/>
      <c r="K88" s="56"/>
      <c r="L88" s="56"/>
      <c r="M88" s="56"/>
      <c r="N88" s="56"/>
      <c r="O88" s="56"/>
      <c r="P88" s="56"/>
      <c r="Q88" s="56"/>
    </row>
    <row r="89" spans="1:17" ht="12.75">
      <c r="A89" s="125" t="s">
        <v>120</v>
      </c>
      <c r="B89" s="23">
        <v>4</v>
      </c>
      <c r="C89" s="31"/>
      <c r="D89" s="31"/>
      <c r="E89" s="31"/>
      <c r="F89" s="91" t="e">
        <f>(C89+D89+E89)/$K$6</f>
        <v>#DIV/0!</v>
      </c>
      <c r="G89" s="91" t="e">
        <f>B89*F89</f>
        <v>#DIV/0!</v>
      </c>
      <c r="H89" s="2" t="s">
        <v>12</v>
      </c>
      <c r="I89" s="108" t="e">
        <f>SUM((IF(C89&gt;0,1,0))+(IF(D89&gt;0,1,0))+(IF(E89&gt;0,1,0)))/num_replicates</f>
        <v>#DIV/0!</v>
      </c>
      <c r="J89" s="56"/>
      <c r="K89" s="56"/>
      <c r="L89" s="56"/>
      <c r="M89" s="56"/>
      <c r="N89" s="56"/>
      <c r="O89" s="56"/>
      <c r="P89" s="56"/>
      <c r="Q89" s="56"/>
    </row>
    <row r="90" spans="1:17" ht="12.75">
      <c r="A90" s="125" t="s">
        <v>121</v>
      </c>
      <c r="B90" s="23">
        <v>8</v>
      </c>
      <c r="C90" s="31"/>
      <c r="D90" s="31"/>
      <c r="E90" s="31"/>
      <c r="F90" s="91" t="e">
        <f>(C90+D90+E90)/$K$6</f>
        <v>#DIV/0!</v>
      </c>
      <c r="G90" s="91" t="e">
        <f>B90*F90</f>
        <v>#DIV/0!</v>
      </c>
      <c r="H90" s="2" t="s">
        <v>12</v>
      </c>
      <c r="I90" s="108" t="e">
        <f>SUM((IF(C90&gt;0,1,0))+(IF(D90&gt;0,1,0))+(IF(E90&gt;0,1,0)))/num_replicates</f>
        <v>#DIV/0!</v>
      </c>
      <c r="J90" s="56"/>
      <c r="K90" s="56"/>
      <c r="L90" s="56"/>
      <c r="M90" s="56"/>
      <c r="N90" s="56"/>
      <c r="O90" s="56"/>
      <c r="P90" s="56"/>
      <c r="Q90" s="56"/>
    </row>
    <row r="91" spans="1:17" ht="12.75">
      <c r="A91" s="125"/>
      <c r="B91" s="23"/>
      <c r="C91" s="31"/>
      <c r="D91" s="31"/>
      <c r="E91" s="31"/>
      <c r="F91" s="91" t="e">
        <f>(C91+D91+E91)/$K$6</f>
        <v>#DIV/0!</v>
      </c>
      <c r="G91" s="91" t="e">
        <f>B91*F91</f>
        <v>#DIV/0!</v>
      </c>
      <c r="H91" s="2"/>
      <c r="I91" s="108" t="e">
        <f>SUM((IF(C91&gt;0,1,0))+(IF(D91&gt;0,1,0))+(IF(E91&gt;0,1,0)))/num_replicates</f>
        <v>#DIV/0!</v>
      </c>
      <c r="J91" s="56"/>
      <c r="K91" s="56"/>
      <c r="L91" s="56"/>
      <c r="M91" s="56"/>
      <c r="N91" s="56"/>
      <c r="O91" s="56"/>
      <c r="P91" s="56"/>
      <c r="Q91" s="56"/>
    </row>
    <row r="92" spans="1:9" ht="12.75">
      <c r="A92" s="125"/>
      <c r="B92" s="23"/>
      <c r="C92" s="31"/>
      <c r="D92" s="31"/>
      <c r="E92" s="31"/>
      <c r="F92" s="91" t="e">
        <f>(C92+D92+E92)/$K$6</f>
        <v>#DIV/0!</v>
      </c>
      <c r="G92" s="91" t="e">
        <f>B92*F92</f>
        <v>#DIV/0!</v>
      </c>
      <c r="H92" s="2"/>
      <c r="I92" s="108" t="e">
        <f>SUM((IF(C92&gt;0,1,0))+(IF(D92&gt;0,1,0))+(IF(E92&gt;0,1,0)))/num_replicates</f>
        <v>#DIV/0!</v>
      </c>
    </row>
    <row r="93" spans="1:9" ht="13.5" thickBot="1">
      <c r="A93" s="110" t="s">
        <v>122</v>
      </c>
      <c r="B93" s="98"/>
      <c r="C93" s="98"/>
      <c r="D93" s="98"/>
      <c r="E93" s="98"/>
      <c r="F93" s="95" t="e">
        <f>SUM(F89:F92)</f>
        <v>#DIV/0!</v>
      </c>
      <c r="G93" s="95" t="e">
        <f>SUM(G89:G92)</f>
        <v>#DIV/0!</v>
      </c>
      <c r="H93" s="97"/>
      <c r="I93" s="111" t="e">
        <f>SUM(I89:I92)</f>
        <v>#DIV/0!</v>
      </c>
    </row>
    <row r="95" ht="12.75">
      <c r="A95" s="19" t="s">
        <v>138</v>
      </c>
    </row>
  </sheetData>
  <sheetProtection/>
  <mergeCells count="19">
    <mergeCell ref="G2:K2"/>
    <mergeCell ref="K3:Q3"/>
    <mergeCell ref="K4:Q4"/>
    <mergeCell ref="B4:G4"/>
    <mergeCell ref="L77:N77"/>
    <mergeCell ref="S53:T53"/>
    <mergeCell ref="B5:G5"/>
    <mergeCell ref="B3:G3"/>
    <mergeCell ref="P53:Q53"/>
    <mergeCell ref="J84:N84"/>
    <mergeCell ref="J78:O78"/>
    <mergeCell ref="B53:D53"/>
    <mergeCell ref="E53:I53"/>
    <mergeCell ref="K53:N53"/>
    <mergeCell ref="J83:N83"/>
    <mergeCell ref="J79:N79"/>
    <mergeCell ref="J80:N80"/>
    <mergeCell ref="J81:N81"/>
    <mergeCell ref="J82:N82"/>
  </mergeCells>
  <printOptions gridLines="1" headings="1"/>
  <pageMargins left="0.32" right="0.31" top="0.9" bottom="1" header="0.9" footer="0.5"/>
  <pageSetup fitToHeight="2" fitToWidth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zoomScale="50" zoomScaleNormal="50" zoomScalePageLayoutView="0" workbookViewId="0" topLeftCell="A1">
      <selection activeCell="AE9" sqref="AE9"/>
    </sheetView>
  </sheetViews>
  <sheetFormatPr defaultColWidth="9.140625" defaultRowHeight="12.75"/>
  <cols>
    <col min="1" max="1" width="14.7109375" style="0" customWidth="1"/>
    <col min="2" max="2" width="3.57421875" style="0" customWidth="1"/>
    <col min="3" max="3" width="4.00390625" style="0" customWidth="1"/>
    <col min="4" max="4" width="4.28125" style="0" customWidth="1"/>
    <col min="5" max="5" width="3.7109375" style="0" customWidth="1"/>
    <col min="6" max="7" width="4.8515625" style="0" customWidth="1"/>
    <col min="8" max="8" width="7.7109375" style="0" customWidth="1"/>
    <col min="9" max="9" width="9.00390625" style="0" customWidth="1"/>
    <col min="10" max="10" width="16.7109375" style="0" customWidth="1"/>
    <col min="11" max="11" width="4.421875" style="0" customWidth="1"/>
    <col min="12" max="12" width="3.57421875" style="0" customWidth="1"/>
    <col min="13" max="14" width="3.7109375" style="0" customWidth="1"/>
    <col min="15" max="15" width="12.28125" style="0" customWidth="1"/>
    <col min="16" max="16" width="5.140625" style="0" customWidth="1"/>
    <col min="17" max="17" width="9.28125" style="0" customWidth="1"/>
    <col min="18" max="18" width="8.8515625" style="0" customWidth="1"/>
    <col min="19" max="19" width="19.57421875" style="0" customWidth="1"/>
    <col min="20" max="20" width="10.00390625" style="0" customWidth="1"/>
    <col min="22" max="22" width="15.57421875" style="0" customWidth="1"/>
  </cols>
  <sheetData>
    <row r="1" spans="1:18" ht="12.75">
      <c r="A1" s="33" t="s">
        <v>205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  <c r="P1" s="32"/>
      <c r="Q1" s="32"/>
      <c r="R1" s="32"/>
    </row>
    <row r="2" spans="7:11" ht="12.75">
      <c r="G2" s="166" t="s">
        <v>152</v>
      </c>
      <c r="H2" s="166"/>
      <c r="I2" s="166"/>
      <c r="J2" s="166"/>
      <c r="K2" s="166"/>
    </row>
    <row r="3" spans="1:18" ht="12.75">
      <c r="A3" s="29" t="s">
        <v>149</v>
      </c>
      <c r="B3" s="182"/>
      <c r="C3" s="182"/>
      <c r="D3" s="182"/>
      <c r="E3" s="182"/>
      <c r="F3" s="182"/>
      <c r="G3" s="182"/>
      <c r="J3" s="29" t="s">
        <v>147</v>
      </c>
      <c r="K3" s="182"/>
      <c r="L3" s="182"/>
      <c r="M3" s="182"/>
      <c r="N3" s="182"/>
      <c r="O3" s="182"/>
      <c r="P3" s="182"/>
      <c r="Q3" s="182"/>
      <c r="R3" s="45"/>
    </row>
    <row r="4" spans="1:18" ht="12.75">
      <c r="A4" s="29" t="s">
        <v>180</v>
      </c>
      <c r="B4" s="170"/>
      <c r="C4" s="170"/>
      <c r="D4" s="170"/>
      <c r="E4" s="170"/>
      <c r="F4" s="170"/>
      <c r="G4" s="170"/>
      <c r="J4" s="29" t="s">
        <v>148</v>
      </c>
      <c r="K4" s="168"/>
      <c r="L4" s="168"/>
      <c r="M4" s="168"/>
      <c r="N4" s="168"/>
      <c r="O4" s="168"/>
      <c r="P4" s="168"/>
      <c r="Q4" s="168"/>
      <c r="R4" s="44"/>
    </row>
    <row r="5" spans="1:17" ht="13.5" thickBot="1">
      <c r="A5" s="78" t="s">
        <v>150</v>
      </c>
      <c r="B5" s="168"/>
      <c r="C5" s="168"/>
      <c r="D5" s="168"/>
      <c r="E5" s="168"/>
      <c r="F5" s="168"/>
      <c r="G5" s="168"/>
      <c r="J5" t="s">
        <v>177</v>
      </c>
      <c r="K5" s="89"/>
      <c r="O5" s="74" t="s">
        <v>200</v>
      </c>
      <c r="Q5" s="63"/>
    </row>
    <row r="6" spans="3:15" ht="13.5" thickBot="1">
      <c r="C6" s="28"/>
      <c r="J6" s="30" t="s">
        <v>151</v>
      </c>
      <c r="K6" s="87"/>
      <c r="L6" s="85"/>
      <c r="M6" s="63"/>
      <c r="N6" s="63"/>
      <c r="O6" t="s">
        <v>201</v>
      </c>
    </row>
    <row r="7" spans="1:18" ht="12.75">
      <c r="A7" s="4" t="s">
        <v>1</v>
      </c>
      <c r="B7" s="4"/>
      <c r="C7" s="5">
        <v>1</v>
      </c>
      <c r="D7" s="5">
        <v>2</v>
      </c>
      <c r="E7" s="5">
        <v>3</v>
      </c>
      <c r="J7" s="4" t="s">
        <v>2</v>
      </c>
      <c r="K7" s="86"/>
      <c r="L7" s="5">
        <v>1</v>
      </c>
      <c r="M7" s="5">
        <v>2</v>
      </c>
      <c r="N7" s="5">
        <v>3</v>
      </c>
      <c r="Q7" s="69"/>
      <c r="R7" s="74" t="s">
        <v>199</v>
      </c>
    </row>
    <row r="8" spans="1:18" ht="38.25">
      <c r="A8" s="6" t="s">
        <v>6</v>
      </c>
      <c r="B8" s="3" t="s">
        <v>3</v>
      </c>
      <c r="C8" s="3" t="s">
        <v>4</v>
      </c>
      <c r="D8" s="3" t="s">
        <v>4</v>
      </c>
      <c r="E8" s="3" t="s">
        <v>4</v>
      </c>
      <c r="F8" s="7" t="s">
        <v>202</v>
      </c>
      <c r="G8" s="7" t="s">
        <v>203</v>
      </c>
      <c r="H8" s="3" t="s">
        <v>5</v>
      </c>
      <c r="I8" s="3" t="s">
        <v>178</v>
      </c>
      <c r="J8" s="6" t="s">
        <v>6</v>
      </c>
      <c r="K8" s="3" t="s">
        <v>3</v>
      </c>
      <c r="L8" s="3" t="s">
        <v>4</v>
      </c>
      <c r="M8" s="3" t="s">
        <v>4</v>
      </c>
      <c r="N8" s="3" t="s">
        <v>4</v>
      </c>
      <c r="O8" s="7" t="s">
        <v>202</v>
      </c>
      <c r="P8" s="7" t="s">
        <v>203</v>
      </c>
      <c r="Q8" s="3" t="s">
        <v>5</v>
      </c>
      <c r="R8" s="3" t="s">
        <v>178</v>
      </c>
    </row>
    <row r="9" spans="1:18" ht="12.75">
      <c r="A9" s="9" t="s">
        <v>7</v>
      </c>
      <c r="B9" s="20"/>
      <c r="C9" s="20"/>
      <c r="D9" s="20"/>
      <c r="E9" s="20"/>
      <c r="F9" s="20"/>
      <c r="G9" s="20"/>
      <c r="H9" s="21"/>
      <c r="I9" s="12"/>
      <c r="J9" s="9" t="s">
        <v>8</v>
      </c>
      <c r="K9" s="10"/>
      <c r="L9" s="10"/>
      <c r="M9" s="10"/>
      <c r="N9" s="10"/>
      <c r="O9" s="11"/>
      <c r="P9" s="11"/>
      <c r="Q9" s="12"/>
      <c r="R9" s="12"/>
    </row>
    <row r="10" spans="1:18" ht="12.75">
      <c r="A10" s="2" t="s">
        <v>9</v>
      </c>
      <c r="B10" s="23">
        <v>4</v>
      </c>
      <c r="C10" s="31"/>
      <c r="D10" s="31"/>
      <c r="E10" s="31"/>
      <c r="F10" s="23"/>
      <c r="G10" s="23"/>
      <c r="H10" s="22" t="s">
        <v>10</v>
      </c>
      <c r="I10" s="2"/>
      <c r="J10" s="2" t="s">
        <v>25</v>
      </c>
      <c r="K10" s="23">
        <v>1</v>
      </c>
      <c r="L10" s="31"/>
      <c r="M10" s="31"/>
      <c r="N10" s="31"/>
      <c r="O10" s="23"/>
      <c r="P10" s="23"/>
      <c r="Q10" s="2" t="s">
        <v>185</v>
      </c>
      <c r="R10" s="2"/>
    </row>
    <row r="11" spans="1:18" ht="12.75">
      <c r="A11" s="2" t="s">
        <v>11</v>
      </c>
      <c r="B11" s="23">
        <v>3</v>
      </c>
      <c r="C11" s="31"/>
      <c r="D11" s="31"/>
      <c r="E11" s="31"/>
      <c r="F11" s="23"/>
      <c r="G11" s="23"/>
      <c r="H11" s="22" t="s">
        <v>12</v>
      </c>
      <c r="I11" s="2"/>
      <c r="J11" s="2" t="s">
        <v>26</v>
      </c>
      <c r="K11" s="23">
        <v>0</v>
      </c>
      <c r="L11" s="31"/>
      <c r="M11" s="31"/>
      <c r="N11" s="31"/>
      <c r="O11" s="23"/>
      <c r="P11" s="23"/>
      <c r="Q11" s="2" t="s">
        <v>27</v>
      </c>
      <c r="R11" s="2"/>
    </row>
    <row r="12" spans="1:18" ht="12.75">
      <c r="A12" s="2" t="s">
        <v>13</v>
      </c>
      <c r="B12" s="23">
        <v>7</v>
      </c>
      <c r="C12" s="31"/>
      <c r="D12" s="31"/>
      <c r="E12" s="31"/>
      <c r="F12" s="23"/>
      <c r="G12" s="23"/>
      <c r="H12" s="22" t="s">
        <v>12</v>
      </c>
      <c r="I12" s="2"/>
      <c r="J12" s="2" t="s">
        <v>28</v>
      </c>
      <c r="K12" s="23">
        <v>3</v>
      </c>
      <c r="L12" s="31"/>
      <c r="M12" s="31"/>
      <c r="N12" s="31"/>
      <c r="O12" s="23"/>
      <c r="P12" s="23"/>
      <c r="Q12" s="2" t="s">
        <v>27</v>
      </c>
      <c r="R12" s="2"/>
    </row>
    <row r="13" spans="1:18" ht="12.75">
      <c r="A13" s="2" t="s">
        <v>14</v>
      </c>
      <c r="B13" s="23">
        <v>1</v>
      </c>
      <c r="C13" s="31"/>
      <c r="D13" s="31"/>
      <c r="E13" s="31"/>
      <c r="F13" s="23"/>
      <c r="G13" s="23"/>
      <c r="H13" s="22" t="s">
        <v>10</v>
      </c>
      <c r="I13" s="2"/>
      <c r="J13" s="2" t="s">
        <v>29</v>
      </c>
      <c r="K13" s="23">
        <v>4</v>
      </c>
      <c r="L13" s="31"/>
      <c r="M13" s="31"/>
      <c r="N13" s="31"/>
      <c r="O13" s="23"/>
      <c r="P13" s="23"/>
      <c r="Q13" s="2" t="s">
        <v>20</v>
      </c>
      <c r="R13" s="2"/>
    </row>
    <row r="14" spans="1:18" ht="12.75">
      <c r="A14" s="2" t="s">
        <v>15</v>
      </c>
      <c r="B14" s="23">
        <v>4</v>
      </c>
      <c r="C14" s="31"/>
      <c r="D14" s="31"/>
      <c r="E14" s="31"/>
      <c r="F14" s="23"/>
      <c r="G14" s="23"/>
      <c r="H14" s="22" t="s">
        <v>12</v>
      </c>
      <c r="I14" s="2"/>
      <c r="J14" s="2" t="s">
        <v>30</v>
      </c>
      <c r="K14" s="23">
        <v>4</v>
      </c>
      <c r="L14" s="31"/>
      <c r="M14" s="31"/>
      <c r="N14" s="31"/>
      <c r="O14" s="23"/>
      <c r="P14" s="23"/>
      <c r="Q14" s="17" t="s">
        <v>31</v>
      </c>
      <c r="R14" s="2"/>
    </row>
    <row r="15" spans="1:18" ht="12.75">
      <c r="A15" s="2" t="s">
        <v>16</v>
      </c>
      <c r="B15" s="23">
        <v>4</v>
      </c>
      <c r="C15" s="31"/>
      <c r="D15" s="31"/>
      <c r="E15" s="31"/>
      <c r="F15" s="23"/>
      <c r="G15" s="23"/>
      <c r="H15" s="22" t="s">
        <v>17</v>
      </c>
      <c r="I15" s="2"/>
      <c r="J15" s="2" t="s">
        <v>32</v>
      </c>
      <c r="K15" s="23">
        <v>1</v>
      </c>
      <c r="L15" s="31"/>
      <c r="M15" s="31"/>
      <c r="N15" s="31"/>
      <c r="O15" s="23"/>
      <c r="P15" s="23"/>
      <c r="Q15" s="2" t="s">
        <v>33</v>
      </c>
      <c r="R15" s="2"/>
    </row>
    <row r="16" spans="1:18" ht="12.75">
      <c r="A16" s="2" t="s">
        <v>208</v>
      </c>
      <c r="B16" s="23">
        <v>2</v>
      </c>
      <c r="C16" s="31"/>
      <c r="D16" s="31"/>
      <c r="E16" s="31"/>
      <c r="F16" s="23"/>
      <c r="G16" s="23"/>
      <c r="H16" s="22" t="s">
        <v>12</v>
      </c>
      <c r="I16" s="2"/>
      <c r="J16" s="2" t="s">
        <v>34</v>
      </c>
      <c r="K16" s="23">
        <v>4</v>
      </c>
      <c r="L16" s="31"/>
      <c r="M16" s="31"/>
      <c r="N16" s="31"/>
      <c r="O16" s="23"/>
      <c r="P16" s="23"/>
      <c r="Q16" s="17" t="s">
        <v>35</v>
      </c>
      <c r="R16" s="2"/>
    </row>
    <row r="17" spans="1:18" ht="12.75">
      <c r="A17" s="2" t="s">
        <v>18</v>
      </c>
      <c r="B17" s="23">
        <v>2</v>
      </c>
      <c r="C17" s="31"/>
      <c r="D17" s="31"/>
      <c r="E17" s="31"/>
      <c r="F17" s="23"/>
      <c r="G17" s="23"/>
      <c r="H17" s="22" t="s">
        <v>12</v>
      </c>
      <c r="I17" s="2"/>
      <c r="J17" s="2" t="s">
        <v>36</v>
      </c>
      <c r="K17" s="23">
        <v>4</v>
      </c>
      <c r="L17" s="31"/>
      <c r="M17" s="31"/>
      <c r="N17" s="31"/>
      <c r="O17" s="23"/>
      <c r="P17" s="23"/>
      <c r="Q17" s="17" t="s">
        <v>37</v>
      </c>
      <c r="R17" s="2"/>
    </row>
    <row r="18" spans="1:18" ht="12.75">
      <c r="A18" s="2" t="s">
        <v>19</v>
      </c>
      <c r="B18" s="23">
        <v>2</v>
      </c>
      <c r="C18" s="31"/>
      <c r="D18" s="31"/>
      <c r="E18" s="31"/>
      <c r="F18" s="23"/>
      <c r="G18" s="23"/>
      <c r="H18" s="22" t="s">
        <v>20</v>
      </c>
      <c r="I18" s="2"/>
      <c r="J18" s="2" t="s">
        <v>38</v>
      </c>
      <c r="K18" s="23">
        <v>6</v>
      </c>
      <c r="L18" s="31"/>
      <c r="M18" s="31"/>
      <c r="N18" s="31"/>
      <c r="O18" s="23"/>
      <c r="P18" s="23"/>
      <c r="Q18" s="18" t="s">
        <v>27</v>
      </c>
      <c r="R18" s="2"/>
    </row>
    <row r="19" spans="1:18" ht="12.75">
      <c r="A19" s="2" t="s">
        <v>21</v>
      </c>
      <c r="B19" s="23">
        <v>2</v>
      </c>
      <c r="C19" s="31"/>
      <c r="D19" s="31"/>
      <c r="E19" s="31"/>
      <c r="F19" s="23"/>
      <c r="G19" s="23"/>
      <c r="H19" s="22" t="s">
        <v>12</v>
      </c>
      <c r="I19" s="2"/>
      <c r="J19" s="2" t="s">
        <v>39</v>
      </c>
      <c r="K19" s="23">
        <v>0</v>
      </c>
      <c r="L19" s="31"/>
      <c r="M19" s="31"/>
      <c r="N19" s="31"/>
      <c r="O19" s="23"/>
      <c r="P19" s="23"/>
      <c r="Q19" s="18" t="s">
        <v>33</v>
      </c>
      <c r="R19" s="2"/>
    </row>
    <row r="20" spans="1:18" ht="12.75">
      <c r="A20" s="2" t="s">
        <v>22</v>
      </c>
      <c r="B20" s="23">
        <v>4</v>
      </c>
      <c r="C20" s="31"/>
      <c r="D20" s="31"/>
      <c r="E20" s="31"/>
      <c r="F20" s="23"/>
      <c r="G20" s="23"/>
      <c r="H20" s="22" t="s">
        <v>12</v>
      </c>
      <c r="I20" s="2"/>
      <c r="J20" s="2" t="s">
        <v>40</v>
      </c>
      <c r="K20" s="23">
        <v>3</v>
      </c>
      <c r="L20" s="31"/>
      <c r="M20" s="31"/>
      <c r="N20" s="31"/>
      <c r="O20" s="23"/>
      <c r="P20" s="23"/>
      <c r="Q20" s="18" t="s">
        <v>20</v>
      </c>
      <c r="R20" s="2"/>
    </row>
    <row r="21" spans="1:18" ht="12.75">
      <c r="A21" s="2" t="s">
        <v>23</v>
      </c>
      <c r="B21" s="23">
        <v>7</v>
      </c>
      <c r="C21" s="31"/>
      <c r="D21" s="31"/>
      <c r="E21" s="31"/>
      <c r="F21" s="23"/>
      <c r="G21" s="23"/>
      <c r="H21" s="22" t="s">
        <v>12</v>
      </c>
      <c r="I21" s="2"/>
      <c r="J21" s="2" t="s">
        <v>41</v>
      </c>
      <c r="K21" s="23">
        <v>4</v>
      </c>
      <c r="L21" s="31"/>
      <c r="M21" s="31"/>
      <c r="N21" s="31"/>
      <c r="O21" s="23"/>
      <c r="P21" s="23"/>
      <c r="Q21" s="18" t="s">
        <v>33</v>
      </c>
      <c r="R21" s="2"/>
    </row>
    <row r="22" spans="1:18" ht="12.75">
      <c r="A22" s="2" t="s">
        <v>24</v>
      </c>
      <c r="B22" s="23">
        <v>4</v>
      </c>
      <c r="C22" s="31"/>
      <c r="D22" s="31"/>
      <c r="E22" s="31"/>
      <c r="F22" s="23"/>
      <c r="G22" s="23"/>
      <c r="H22" s="22" t="s">
        <v>12</v>
      </c>
      <c r="I22" s="2"/>
      <c r="J22" s="2" t="s">
        <v>42</v>
      </c>
      <c r="K22" s="23">
        <v>6</v>
      </c>
      <c r="L22" s="31"/>
      <c r="M22" s="31"/>
      <c r="N22" s="31"/>
      <c r="O22" s="23"/>
      <c r="P22" s="23"/>
      <c r="Q22" s="18" t="s">
        <v>43</v>
      </c>
      <c r="R22" s="2"/>
    </row>
    <row r="23" spans="1:18" ht="12.75">
      <c r="A23" s="2"/>
      <c r="B23" s="23"/>
      <c r="C23" s="31"/>
      <c r="D23" s="31"/>
      <c r="E23" s="31"/>
      <c r="F23" s="23"/>
      <c r="G23" s="23"/>
      <c r="H23" s="22"/>
      <c r="I23" s="2"/>
      <c r="J23" s="2" t="s">
        <v>44</v>
      </c>
      <c r="K23" s="23">
        <v>2</v>
      </c>
      <c r="L23" s="31"/>
      <c r="M23" s="31"/>
      <c r="N23" s="31"/>
      <c r="O23" s="23"/>
      <c r="P23" s="23"/>
      <c r="Q23" s="18" t="s">
        <v>12</v>
      </c>
      <c r="R23" s="2"/>
    </row>
    <row r="24" spans="1:18" ht="12.75">
      <c r="A24" s="13"/>
      <c r="B24" s="23"/>
      <c r="C24" s="31"/>
      <c r="D24" s="31"/>
      <c r="E24" s="31"/>
      <c r="F24" s="23"/>
      <c r="G24" s="23"/>
      <c r="H24" s="22"/>
      <c r="I24" s="2"/>
      <c r="J24" s="2" t="s">
        <v>45</v>
      </c>
      <c r="K24" s="23">
        <v>0</v>
      </c>
      <c r="L24" s="31"/>
      <c r="M24" s="31"/>
      <c r="N24" s="31"/>
      <c r="O24" s="23"/>
      <c r="P24" s="23"/>
      <c r="Q24" s="18" t="s">
        <v>46</v>
      </c>
      <c r="R24" s="2"/>
    </row>
    <row r="25" spans="1:18" ht="12.75">
      <c r="A25" s="52" t="s">
        <v>48</v>
      </c>
      <c r="B25" s="53"/>
      <c r="C25" s="53"/>
      <c r="D25" s="53"/>
      <c r="E25" s="53"/>
      <c r="F25" s="49"/>
      <c r="G25" s="54"/>
      <c r="H25" s="42"/>
      <c r="I25" s="42"/>
      <c r="J25" s="2" t="s">
        <v>47</v>
      </c>
      <c r="K25" s="23">
        <v>3</v>
      </c>
      <c r="L25" s="31"/>
      <c r="M25" s="31"/>
      <c r="N25" s="31"/>
      <c r="O25" s="23"/>
      <c r="P25" s="23"/>
      <c r="Q25" s="18" t="s">
        <v>33</v>
      </c>
      <c r="R25" s="2"/>
    </row>
    <row r="26" spans="1:18" ht="12.75">
      <c r="A26" s="9" t="s">
        <v>50</v>
      </c>
      <c r="B26" s="24"/>
      <c r="C26" s="24"/>
      <c r="D26" s="24"/>
      <c r="E26" s="24"/>
      <c r="F26" s="24"/>
      <c r="G26" s="24"/>
      <c r="H26" s="21"/>
      <c r="I26" s="12"/>
      <c r="J26" s="2"/>
      <c r="K26" s="23"/>
      <c r="L26" s="31"/>
      <c r="M26" s="31"/>
      <c r="N26" s="31"/>
      <c r="O26" s="23"/>
      <c r="P26" s="23"/>
      <c r="Q26" s="68"/>
      <c r="R26" s="2"/>
    </row>
    <row r="27" spans="1:18" ht="12.75">
      <c r="A27" s="2" t="s">
        <v>52</v>
      </c>
      <c r="B27" s="23">
        <v>1</v>
      </c>
      <c r="C27" s="31"/>
      <c r="D27" s="31"/>
      <c r="E27" s="31"/>
      <c r="F27" s="23"/>
      <c r="G27" s="23"/>
      <c r="H27" s="22" t="s">
        <v>33</v>
      </c>
      <c r="I27" s="2"/>
      <c r="J27" s="8"/>
      <c r="K27" s="23"/>
      <c r="L27" s="31"/>
      <c r="M27" s="31"/>
      <c r="N27" s="31"/>
      <c r="O27" s="23"/>
      <c r="P27" s="23"/>
      <c r="Q27" s="68"/>
      <c r="R27" s="2"/>
    </row>
    <row r="28" spans="1:18" ht="12.75">
      <c r="A28" s="2" t="s">
        <v>53</v>
      </c>
      <c r="B28" s="23">
        <v>1</v>
      </c>
      <c r="C28" s="31"/>
      <c r="D28" s="31"/>
      <c r="E28" s="31"/>
      <c r="F28" s="23"/>
      <c r="G28" s="23"/>
      <c r="H28" s="22" t="s">
        <v>54</v>
      </c>
      <c r="I28" s="2"/>
      <c r="J28" s="52" t="s">
        <v>49</v>
      </c>
      <c r="K28" s="53"/>
      <c r="L28" s="53"/>
      <c r="M28" s="53"/>
      <c r="N28" s="53"/>
      <c r="O28" s="49"/>
      <c r="P28" s="54"/>
      <c r="Q28" s="40"/>
      <c r="R28" s="40"/>
    </row>
    <row r="29" spans="1:18" ht="12.75">
      <c r="A29" s="2" t="s">
        <v>55</v>
      </c>
      <c r="B29" s="23">
        <v>0</v>
      </c>
      <c r="C29" s="31"/>
      <c r="D29" s="31"/>
      <c r="E29" s="31"/>
      <c r="F29" s="23"/>
      <c r="G29" s="23"/>
      <c r="H29" s="22" t="s">
        <v>33</v>
      </c>
      <c r="I29" s="2"/>
      <c r="J29" s="15" t="s">
        <v>51</v>
      </c>
      <c r="K29" s="25"/>
      <c r="L29" s="25"/>
      <c r="M29" s="25"/>
      <c r="N29" s="25"/>
      <c r="O29" s="26"/>
      <c r="P29" s="26"/>
      <c r="Q29" s="16"/>
      <c r="R29" s="12"/>
    </row>
    <row r="30" spans="1:18" ht="12.75">
      <c r="A30" s="2" t="s">
        <v>56</v>
      </c>
      <c r="B30" s="23">
        <v>2</v>
      </c>
      <c r="C30" s="31"/>
      <c r="D30" s="31"/>
      <c r="E30" s="31"/>
      <c r="F30" s="23"/>
      <c r="G30" s="23"/>
      <c r="H30" s="22" t="s">
        <v>33</v>
      </c>
      <c r="I30" s="2"/>
      <c r="J30" s="2" t="s">
        <v>63</v>
      </c>
      <c r="K30" s="23">
        <v>2</v>
      </c>
      <c r="L30" s="31"/>
      <c r="M30" s="31"/>
      <c r="N30" s="31"/>
      <c r="O30" s="23"/>
      <c r="P30" s="23"/>
      <c r="Q30" s="2" t="s">
        <v>46</v>
      </c>
      <c r="R30" s="2"/>
    </row>
    <row r="31" spans="1:18" ht="12.75">
      <c r="A31" s="2" t="s">
        <v>57</v>
      </c>
      <c r="B31" s="23">
        <v>0</v>
      </c>
      <c r="C31" s="31"/>
      <c r="D31" s="31"/>
      <c r="E31" s="31"/>
      <c r="F31" s="23"/>
      <c r="G31" s="23"/>
      <c r="H31" s="22" t="s">
        <v>33</v>
      </c>
      <c r="I31" s="2"/>
      <c r="J31" s="2" t="s">
        <v>64</v>
      </c>
      <c r="K31" s="23">
        <v>0</v>
      </c>
      <c r="L31" s="31"/>
      <c r="M31" s="31"/>
      <c r="N31" s="31"/>
      <c r="O31" s="23"/>
      <c r="P31" s="23"/>
      <c r="Q31" s="2" t="s">
        <v>27</v>
      </c>
      <c r="R31" s="2"/>
    </row>
    <row r="32" spans="1:23" ht="12.75">
      <c r="A32" s="2" t="s">
        <v>58</v>
      </c>
      <c r="B32" s="23">
        <v>1</v>
      </c>
      <c r="C32" s="31"/>
      <c r="D32" s="31"/>
      <c r="E32" s="31"/>
      <c r="F32" s="23"/>
      <c r="G32" s="23"/>
      <c r="H32" s="22" t="s">
        <v>46</v>
      </c>
      <c r="I32" s="2"/>
      <c r="J32" s="2" t="s">
        <v>65</v>
      </c>
      <c r="K32" s="23">
        <v>6</v>
      </c>
      <c r="L32" s="31"/>
      <c r="M32" s="31"/>
      <c r="N32" s="31"/>
      <c r="O32" s="23"/>
      <c r="P32" s="23"/>
      <c r="Q32" s="2" t="s">
        <v>46</v>
      </c>
      <c r="R32" s="2"/>
      <c r="S32" s="19" t="s">
        <v>209</v>
      </c>
      <c r="W32" s="56"/>
    </row>
    <row r="33" spans="1:23" ht="12.75">
      <c r="A33" s="2" t="s">
        <v>59</v>
      </c>
      <c r="B33" s="23">
        <v>2</v>
      </c>
      <c r="C33" s="31"/>
      <c r="D33" s="31"/>
      <c r="E33" s="31"/>
      <c r="F33" s="23"/>
      <c r="G33" s="23"/>
      <c r="H33" s="22" t="s">
        <v>46</v>
      </c>
      <c r="I33" s="2"/>
      <c r="J33" s="2" t="s">
        <v>66</v>
      </c>
      <c r="K33" s="23">
        <v>7</v>
      </c>
      <c r="L33" s="31"/>
      <c r="M33" s="31"/>
      <c r="N33" s="31"/>
      <c r="O33" s="23"/>
      <c r="P33" s="23"/>
      <c r="Q33" s="2" t="s">
        <v>67</v>
      </c>
      <c r="R33" s="2"/>
      <c r="S33" s="38" t="s">
        <v>172</v>
      </c>
      <c r="T33" s="19" t="s">
        <v>193</v>
      </c>
      <c r="W33" s="56"/>
    </row>
    <row r="34" spans="1:23" ht="12.75">
      <c r="A34" s="2" t="s">
        <v>60</v>
      </c>
      <c r="B34" s="23">
        <v>0</v>
      </c>
      <c r="C34" s="31"/>
      <c r="D34" s="31"/>
      <c r="E34" s="31"/>
      <c r="F34" s="23"/>
      <c r="G34" s="23"/>
      <c r="H34" s="22" t="s">
        <v>33</v>
      </c>
      <c r="I34" s="2"/>
      <c r="J34" s="2" t="s">
        <v>68</v>
      </c>
      <c r="K34" s="23">
        <v>6</v>
      </c>
      <c r="L34" s="31"/>
      <c r="M34" s="31"/>
      <c r="N34" s="31"/>
      <c r="O34" s="23"/>
      <c r="P34" s="23"/>
      <c r="Q34" s="2" t="s">
        <v>46</v>
      </c>
      <c r="R34" s="2"/>
      <c r="S34" s="79"/>
      <c r="T34" s="71"/>
      <c r="U34" s="34" t="s">
        <v>156</v>
      </c>
      <c r="V34" s="2"/>
      <c r="W34" s="56"/>
    </row>
    <row r="35" spans="1:23" ht="12.75">
      <c r="A35" s="2" t="s">
        <v>61</v>
      </c>
      <c r="B35" s="23">
        <v>2</v>
      </c>
      <c r="C35" s="31"/>
      <c r="D35" s="31"/>
      <c r="E35" s="31"/>
      <c r="F35" s="23"/>
      <c r="G35" s="23"/>
      <c r="H35" s="22" t="s">
        <v>33</v>
      </c>
      <c r="I35" s="2"/>
      <c r="J35" s="2" t="s">
        <v>69</v>
      </c>
      <c r="K35" s="23">
        <v>6</v>
      </c>
      <c r="L35" s="31"/>
      <c r="M35" s="31"/>
      <c r="N35" s="31"/>
      <c r="O35" s="23"/>
      <c r="P35" s="23"/>
      <c r="Q35" s="2" t="s">
        <v>20</v>
      </c>
      <c r="R35" s="2"/>
      <c r="S35" s="79"/>
      <c r="T35" s="71"/>
      <c r="U35" s="34" t="s">
        <v>157</v>
      </c>
      <c r="V35" s="2"/>
      <c r="W35" s="56"/>
    </row>
    <row r="36" spans="1:23" ht="12.75">
      <c r="A36" s="2"/>
      <c r="B36" s="23"/>
      <c r="C36" s="31"/>
      <c r="D36" s="31"/>
      <c r="E36" s="31"/>
      <c r="F36" s="23"/>
      <c r="G36" s="23"/>
      <c r="H36" s="22"/>
      <c r="I36" s="2"/>
      <c r="J36" s="2" t="s">
        <v>70</v>
      </c>
      <c r="K36" s="23">
        <v>6</v>
      </c>
      <c r="L36" s="31"/>
      <c r="M36" s="31"/>
      <c r="N36" s="31"/>
      <c r="O36" s="23"/>
      <c r="P36" s="23"/>
      <c r="Q36" s="2" t="s">
        <v>46</v>
      </c>
      <c r="R36" s="2"/>
      <c r="S36" s="79"/>
      <c r="T36" s="71"/>
      <c r="U36" s="34" t="s">
        <v>158</v>
      </c>
      <c r="V36" s="2"/>
      <c r="W36" s="56"/>
    </row>
    <row r="37" spans="1:23" ht="12.75">
      <c r="A37" s="13"/>
      <c r="B37" s="23"/>
      <c r="C37" s="31"/>
      <c r="D37" s="31"/>
      <c r="E37" s="31"/>
      <c r="F37" s="23"/>
      <c r="G37" s="23"/>
      <c r="H37" s="22"/>
      <c r="I37" s="2"/>
      <c r="J37" s="2" t="s">
        <v>71</v>
      </c>
      <c r="K37" s="23">
        <v>3</v>
      </c>
      <c r="L37" s="31"/>
      <c r="M37" s="31"/>
      <c r="N37" s="31"/>
      <c r="O37" s="23"/>
      <c r="P37" s="23"/>
      <c r="Q37" s="17" t="s">
        <v>192</v>
      </c>
      <c r="R37" s="2"/>
      <c r="S37" s="79"/>
      <c r="T37" s="71"/>
      <c r="U37" s="35" t="s">
        <v>159</v>
      </c>
      <c r="V37" s="2"/>
      <c r="W37" s="56"/>
    </row>
    <row r="38" spans="1:23" ht="12.75">
      <c r="A38" s="47" t="s">
        <v>62</v>
      </c>
      <c r="B38" s="48"/>
      <c r="C38" s="48"/>
      <c r="D38" s="48"/>
      <c r="E38" s="48"/>
      <c r="F38" s="49"/>
      <c r="G38" s="51"/>
      <c r="H38" s="40"/>
      <c r="I38" s="40"/>
      <c r="J38" s="2" t="s">
        <v>173</v>
      </c>
      <c r="K38" s="23"/>
      <c r="L38" s="31"/>
      <c r="M38" s="31"/>
      <c r="N38" s="31"/>
      <c r="O38" s="23"/>
      <c r="P38" s="23"/>
      <c r="Q38" s="2"/>
      <c r="R38" s="2"/>
      <c r="S38" s="79"/>
      <c r="T38" s="71"/>
      <c r="U38" s="34" t="s">
        <v>165</v>
      </c>
      <c r="V38" s="2"/>
      <c r="W38" s="56"/>
    </row>
    <row r="39" spans="10:23" ht="12.75">
      <c r="J39" s="2"/>
      <c r="K39" s="23"/>
      <c r="L39" s="31"/>
      <c r="M39" s="31"/>
      <c r="N39" s="31"/>
      <c r="O39" s="23"/>
      <c r="P39" s="23"/>
      <c r="Q39" s="2"/>
      <c r="R39" s="2"/>
      <c r="S39" s="79"/>
      <c r="T39" s="71"/>
      <c r="U39" s="34" t="s">
        <v>160</v>
      </c>
      <c r="V39" s="2"/>
      <c r="W39" s="56"/>
    </row>
    <row r="40" spans="1:23" ht="12.75">
      <c r="A40" s="19" t="s">
        <v>73</v>
      </c>
      <c r="J40" s="13"/>
      <c r="K40" s="23"/>
      <c r="L40" s="31"/>
      <c r="M40" s="31"/>
      <c r="N40" s="31"/>
      <c r="O40" s="23"/>
      <c r="P40" s="23"/>
      <c r="Q40" s="2"/>
      <c r="R40" s="2"/>
      <c r="S40" s="79"/>
      <c r="T40" s="71"/>
      <c r="U40" s="34" t="s">
        <v>161</v>
      </c>
      <c r="V40" s="2"/>
      <c r="W40" s="56"/>
    </row>
    <row r="41" spans="1:23" ht="12.75">
      <c r="A41" t="s">
        <v>74</v>
      </c>
      <c r="J41" s="47" t="s">
        <v>72</v>
      </c>
      <c r="K41" s="48"/>
      <c r="L41" s="48"/>
      <c r="M41" s="48"/>
      <c r="N41" s="48"/>
      <c r="O41" s="49"/>
      <c r="P41" s="50"/>
      <c r="Q41" s="41"/>
      <c r="R41" s="40"/>
      <c r="S41" s="64"/>
      <c r="T41" s="71"/>
      <c r="U41" s="34" t="s">
        <v>102</v>
      </c>
      <c r="V41" s="2"/>
      <c r="W41" s="56"/>
    </row>
    <row r="42" spans="1:23" ht="12.75">
      <c r="A42" t="s">
        <v>75</v>
      </c>
      <c r="S42" s="64"/>
      <c r="T42" s="71"/>
      <c r="U42" s="34" t="s">
        <v>162</v>
      </c>
      <c r="V42" s="2"/>
      <c r="W42" s="56"/>
    </row>
    <row r="43" spans="1:23" ht="12.75">
      <c r="A43" t="s">
        <v>129</v>
      </c>
      <c r="S43" s="64"/>
      <c r="T43" s="71"/>
      <c r="U43" s="34" t="s">
        <v>163</v>
      </c>
      <c r="V43" s="2"/>
      <c r="W43" s="56"/>
    </row>
    <row r="44" spans="1:23" ht="12.75">
      <c r="A44" t="s">
        <v>76</v>
      </c>
      <c r="J44" t="s">
        <v>87</v>
      </c>
      <c r="S44" s="64"/>
      <c r="T44" s="71"/>
      <c r="U44" s="34" t="s">
        <v>164</v>
      </c>
      <c r="V44" s="2"/>
      <c r="W44" s="56"/>
    </row>
    <row r="45" spans="2:23" ht="12.75">
      <c r="B45" t="s">
        <v>77</v>
      </c>
      <c r="J45" t="s">
        <v>140</v>
      </c>
      <c r="S45" s="64"/>
      <c r="T45" s="71"/>
      <c r="U45" s="34" t="s">
        <v>153</v>
      </c>
      <c r="V45" s="2"/>
      <c r="W45" s="56"/>
    </row>
    <row r="46" spans="2:23" ht="12.75">
      <c r="B46" t="s">
        <v>78</v>
      </c>
      <c r="J46" t="s">
        <v>82</v>
      </c>
      <c r="S46" s="64"/>
      <c r="T46" s="71"/>
      <c r="U46" s="34" t="s">
        <v>154</v>
      </c>
      <c r="V46" s="2"/>
      <c r="W46" s="56"/>
    </row>
    <row r="47" spans="2:23" ht="12.75">
      <c r="B47" t="s">
        <v>79</v>
      </c>
      <c r="J47" t="s">
        <v>83</v>
      </c>
      <c r="S47" s="64"/>
      <c r="T47" s="71"/>
      <c r="U47" s="2" t="s">
        <v>123</v>
      </c>
      <c r="V47" s="2"/>
      <c r="W47" s="56"/>
    </row>
    <row r="48" spans="2:23" ht="12.75">
      <c r="B48" t="s">
        <v>80</v>
      </c>
      <c r="J48" t="s">
        <v>84</v>
      </c>
      <c r="S48" s="64"/>
      <c r="T48" s="71"/>
      <c r="U48" s="34" t="s">
        <v>155</v>
      </c>
      <c r="V48" s="2"/>
      <c r="W48" s="56"/>
    </row>
    <row r="49" spans="2:23" ht="12.75">
      <c r="B49" t="s">
        <v>81</v>
      </c>
      <c r="J49" t="s">
        <v>85</v>
      </c>
      <c r="S49" s="64"/>
      <c r="T49" s="71"/>
      <c r="U49" s="34" t="s">
        <v>191</v>
      </c>
      <c r="V49" s="2"/>
      <c r="W49" s="56"/>
    </row>
    <row r="50" spans="1:23" ht="12.75">
      <c r="A50" s="19" t="s">
        <v>86</v>
      </c>
      <c r="S50" s="64"/>
      <c r="T50" s="72"/>
      <c r="U50" s="34" t="s">
        <v>128</v>
      </c>
      <c r="V50" s="2"/>
      <c r="W50" s="56"/>
    </row>
    <row r="51" spans="19:23" ht="12.75">
      <c r="S51" s="75"/>
      <c r="T51" s="2"/>
      <c r="U51" t="s">
        <v>189</v>
      </c>
      <c r="W51" s="56"/>
    </row>
    <row r="52" spans="1:26" ht="12.75">
      <c r="A52" s="1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W52" s="56"/>
      <c r="X52" s="37"/>
      <c r="Y52" s="27"/>
      <c r="Z52" s="27"/>
    </row>
    <row r="53" spans="1:23" ht="12.75">
      <c r="A53" t="s">
        <v>88</v>
      </c>
      <c r="B53" s="157" t="s">
        <v>196</v>
      </c>
      <c r="C53" s="158"/>
      <c r="D53" s="158"/>
      <c r="E53" s="159" t="e">
        <f>river</f>
        <v>#REF!</v>
      </c>
      <c r="F53" s="159"/>
      <c r="G53" s="159"/>
      <c r="H53" s="159"/>
      <c r="I53" s="159"/>
      <c r="J53" s="77" t="s">
        <v>197</v>
      </c>
      <c r="K53" s="159" t="e">
        <f>site_num</f>
        <v>#REF!</v>
      </c>
      <c r="L53" s="159"/>
      <c r="M53" s="159"/>
      <c r="N53" s="159"/>
      <c r="O53" s="77" t="s">
        <v>198</v>
      </c>
      <c r="P53" s="176" t="e">
        <f>sample_date</f>
        <v>#REF!</v>
      </c>
      <c r="Q53" s="176"/>
      <c r="S53" s="173" t="s">
        <v>168</v>
      </c>
      <c r="T53" s="174"/>
      <c r="U53" s="36" t="s">
        <v>169</v>
      </c>
      <c r="W53" s="90"/>
    </row>
    <row r="54" spans="19:23" ht="12.75">
      <c r="S54" s="2" t="s">
        <v>188</v>
      </c>
      <c r="T54" s="73"/>
      <c r="W54" s="56"/>
    </row>
    <row r="55" spans="1:23" ht="12.75">
      <c r="A55" s="4" t="s">
        <v>1</v>
      </c>
      <c r="B55" s="4"/>
      <c r="C55" s="5">
        <v>1</v>
      </c>
      <c r="D55" s="5">
        <v>2</v>
      </c>
      <c r="E55" s="5">
        <v>3</v>
      </c>
      <c r="J55" s="4" t="s">
        <v>2</v>
      </c>
      <c r="K55" s="4"/>
      <c r="L55" s="5">
        <v>1</v>
      </c>
      <c r="M55" s="5">
        <v>2</v>
      </c>
      <c r="N55" s="5">
        <v>3</v>
      </c>
      <c r="S55" s="2" t="s">
        <v>130</v>
      </c>
      <c r="T55" s="73"/>
      <c r="U55" t="s">
        <v>144</v>
      </c>
      <c r="W55" s="56"/>
    </row>
    <row r="56" spans="1:23" ht="38.25">
      <c r="A56" s="6" t="s">
        <v>6</v>
      </c>
      <c r="B56" s="3" t="s">
        <v>3</v>
      </c>
      <c r="C56" s="3" t="s">
        <v>4</v>
      </c>
      <c r="D56" s="3" t="s">
        <v>4</v>
      </c>
      <c r="E56" s="3" t="s">
        <v>4</v>
      </c>
      <c r="F56" s="7" t="s">
        <v>202</v>
      </c>
      <c r="G56" s="7" t="s">
        <v>203</v>
      </c>
      <c r="H56" s="3" t="s">
        <v>5</v>
      </c>
      <c r="I56" s="43" t="s">
        <v>178</v>
      </c>
      <c r="J56" s="6" t="s">
        <v>6</v>
      </c>
      <c r="K56" s="3" t="s">
        <v>3</v>
      </c>
      <c r="L56" s="3" t="s">
        <v>4</v>
      </c>
      <c r="M56" s="3" t="s">
        <v>4</v>
      </c>
      <c r="N56" s="3" t="s">
        <v>4</v>
      </c>
      <c r="O56" s="7" t="s">
        <v>202</v>
      </c>
      <c r="P56" s="7" t="s">
        <v>204</v>
      </c>
      <c r="Q56" s="3" t="s">
        <v>5</v>
      </c>
      <c r="R56" s="3" t="s">
        <v>178</v>
      </c>
      <c r="S56" s="2" t="s">
        <v>133</v>
      </c>
      <c r="T56" s="73"/>
      <c r="U56" t="s">
        <v>144</v>
      </c>
      <c r="W56" s="56"/>
    </row>
    <row r="57" spans="1:23" ht="12.75">
      <c r="A57" s="9" t="s">
        <v>139</v>
      </c>
      <c r="B57" s="10"/>
      <c r="C57" s="10"/>
      <c r="D57" s="10"/>
      <c r="E57" s="10"/>
      <c r="F57" s="10"/>
      <c r="G57" s="10"/>
      <c r="H57" s="11"/>
      <c r="I57" s="12"/>
      <c r="J57" s="9" t="s">
        <v>89</v>
      </c>
      <c r="K57" s="10"/>
      <c r="L57" s="10"/>
      <c r="M57" s="10"/>
      <c r="N57" s="10"/>
      <c r="O57" s="11"/>
      <c r="P57" s="11"/>
      <c r="Q57" s="12"/>
      <c r="R57" s="12"/>
      <c r="S57" s="14" t="s">
        <v>131</v>
      </c>
      <c r="T57" s="69"/>
      <c r="U57" t="s">
        <v>144</v>
      </c>
      <c r="W57" s="56"/>
    </row>
    <row r="58" spans="1:23" ht="12.75">
      <c r="A58" s="14" t="s">
        <v>90</v>
      </c>
      <c r="B58" s="23">
        <v>0</v>
      </c>
      <c r="C58" s="31"/>
      <c r="D58" s="31"/>
      <c r="E58" s="31"/>
      <c r="F58" s="23"/>
      <c r="G58" s="23"/>
      <c r="H58" s="2" t="s">
        <v>46</v>
      </c>
      <c r="I58" s="2"/>
      <c r="J58" s="2" t="s">
        <v>93</v>
      </c>
      <c r="K58" s="23">
        <v>8</v>
      </c>
      <c r="L58" s="31"/>
      <c r="M58" s="31"/>
      <c r="N58" s="31"/>
      <c r="O58" s="23"/>
      <c r="P58" s="23"/>
      <c r="Q58" s="2" t="s">
        <v>94</v>
      </c>
      <c r="R58" s="2"/>
      <c r="S58" s="80" t="s">
        <v>132</v>
      </c>
      <c r="T58" s="69"/>
      <c r="U58" t="s">
        <v>144</v>
      </c>
      <c r="W58" s="56"/>
    </row>
    <row r="59" spans="1:23" ht="12.75">
      <c r="A59" s="14" t="s">
        <v>91</v>
      </c>
      <c r="B59" s="23">
        <v>4</v>
      </c>
      <c r="C59" s="31"/>
      <c r="D59" s="31"/>
      <c r="E59" s="31"/>
      <c r="F59" s="23"/>
      <c r="G59" s="23"/>
      <c r="H59" s="2" t="s">
        <v>46</v>
      </c>
      <c r="I59" s="2"/>
      <c r="J59" s="2"/>
      <c r="K59" s="23"/>
      <c r="L59" s="31"/>
      <c r="M59" s="31"/>
      <c r="N59" s="31"/>
      <c r="O59" s="23"/>
      <c r="P59" s="23"/>
      <c r="Q59" s="2"/>
      <c r="R59" s="2"/>
      <c r="S59" s="80" t="s">
        <v>134</v>
      </c>
      <c r="T59" s="64"/>
      <c r="U59" t="s">
        <v>145</v>
      </c>
      <c r="W59" s="56"/>
    </row>
    <row r="60" spans="1:23" ht="12.75">
      <c r="A60" s="14"/>
      <c r="B60" s="23"/>
      <c r="C60" s="31"/>
      <c r="D60" s="31"/>
      <c r="E60" s="31"/>
      <c r="F60" s="23"/>
      <c r="G60" s="23"/>
      <c r="H60" s="2"/>
      <c r="I60" s="2"/>
      <c r="J60" s="2"/>
      <c r="K60" s="23"/>
      <c r="L60" s="31"/>
      <c r="M60" s="31"/>
      <c r="N60" s="31"/>
      <c r="O60" s="23"/>
      <c r="P60" s="23"/>
      <c r="Q60" s="2"/>
      <c r="R60" s="2"/>
      <c r="S60" s="80" t="s">
        <v>136</v>
      </c>
      <c r="T60" s="64"/>
      <c r="U60" t="s">
        <v>145</v>
      </c>
      <c r="W60" s="56"/>
    </row>
    <row r="61" spans="1:23" ht="12.75">
      <c r="A61" s="14"/>
      <c r="B61" s="23"/>
      <c r="C61" s="31"/>
      <c r="D61" s="31"/>
      <c r="E61" s="31"/>
      <c r="F61" s="23"/>
      <c r="G61" s="23"/>
      <c r="H61" s="2"/>
      <c r="I61" s="2"/>
      <c r="J61" s="52" t="s">
        <v>95</v>
      </c>
      <c r="K61" s="53"/>
      <c r="L61" s="53"/>
      <c r="M61" s="53"/>
      <c r="N61" s="53"/>
      <c r="O61" s="49"/>
      <c r="P61" s="49"/>
      <c r="Q61" s="40"/>
      <c r="R61" s="40"/>
      <c r="S61" s="80" t="s">
        <v>137</v>
      </c>
      <c r="T61" s="64"/>
      <c r="U61" t="s">
        <v>145</v>
      </c>
      <c r="W61" s="56"/>
    </row>
    <row r="62" spans="1:23" ht="12.75">
      <c r="A62" s="52" t="s">
        <v>92</v>
      </c>
      <c r="B62" s="53"/>
      <c r="C62" s="53"/>
      <c r="D62" s="53"/>
      <c r="E62" s="53"/>
      <c r="F62" s="49"/>
      <c r="G62" s="49"/>
      <c r="H62" s="39"/>
      <c r="I62" s="40"/>
      <c r="J62" s="9" t="s">
        <v>97</v>
      </c>
      <c r="K62" s="24"/>
      <c r="L62" s="24"/>
      <c r="M62" s="24"/>
      <c r="N62" s="24"/>
      <c r="O62" s="24"/>
      <c r="P62" s="24"/>
      <c r="Q62" s="11"/>
      <c r="R62" s="12"/>
      <c r="S62" s="80" t="s">
        <v>135</v>
      </c>
      <c r="T62" s="65"/>
      <c r="U62" t="s">
        <v>145</v>
      </c>
      <c r="W62" s="56"/>
    </row>
    <row r="63" spans="1:23" ht="12.75">
      <c r="A63" s="9" t="s">
        <v>96</v>
      </c>
      <c r="B63" s="24"/>
      <c r="C63" s="24"/>
      <c r="D63" s="24"/>
      <c r="E63" s="24"/>
      <c r="F63" s="24"/>
      <c r="G63" s="24"/>
      <c r="H63" s="11"/>
      <c r="I63" s="12"/>
      <c r="J63" s="14" t="s">
        <v>99</v>
      </c>
      <c r="K63" s="23">
        <v>6</v>
      </c>
      <c r="L63" s="31"/>
      <c r="M63" s="31"/>
      <c r="N63" s="31"/>
      <c r="O63" s="23"/>
      <c r="P63" s="23"/>
      <c r="Q63" s="2" t="s">
        <v>12</v>
      </c>
      <c r="R63" s="2"/>
      <c r="S63" s="80" t="s">
        <v>141</v>
      </c>
      <c r="T63" s="69"/>
      <c r="U63" t="s">
        <v>145</v>
      </c>
      <c r="W63" s="56"/>
    </row>
    <row r="64" spans="1:23" ht="12.75">
      <c r="A64" s="14" t="s">
        <v>98</v>
      </c>
      <c r="B64" s="23">
        <v>5</v>
      </c>
      <c r="C64" s="31"/>
      <c r="D64" s="31"/>
      <c r="E64" s="31"/>
      <c r="F64" s="23"/>
      <c r="G64" s="23"/>
      <c r="H64" s="2" t="s">
        <v>33</v>
      </c>
      <c r="I64" s="2"/>
      <c r="J64" s="14"/>
      <c r="K64" s="23"/>
      <c r="L64" s="31"/>
      <c r="M64" s="31"/>
      <c r="N64" s="31"/>
      <c r="O64" s="23"/>
      <c r="P64" s="23"/>
      <c r="Q64" s="2"/>
      <c r="R64" s="2"/>
      <c r="S64" s="80" t="s">
        <v>142</v>
      </c>
      <c r="T64" s="69"/>
      <c r="U64" t="s">
        <v>145</v>
      </c>
      <c r="W64" s="56"/>
    </row>
    <row r="65" spans="1:23" ht="12.75">
      <c r="A65" s="14"/>
      <c r="B65" s="23"/>
      <c r="C65" s="31"/>
      <c r="D65" s="31"/>
      <c r="E65" s="31"/>
      <c r="F65" s="23"/>
      <c r="G65" s="23"/>
      <c r="H65" s="2"/>
      <c r="I65" s="2"/>
      <c r="J65" s="14"/>
      <c r="K65" s="23"/>
      <c r="L65" s="31"/>
      <c r="M65" s="31"/>
      <c r="N65" s="31"/>
      <c r="O65" s="23"/>
      <c r="P65" s="23"/>
      <c r="Q65" s="2"/>
      <c r="R65" s="2"/>
      <c r="S65" s="80" t="s">
        <v>167</v>
      </c>
      <c r="T65" s="64"/>
      <c r="U65" t="s">
        <v>145</v>
      </c>
      <c r="W65" s="56"/>
    </row>
    <row r="66" spans="1:23" ht="12.75">
      <c r="A66" s="14"/>
      <c r="B66" s="23"/>
      <c r="C66" s="31"/>
      <c r="D66" s="31"/>
      <c r="E66" s="31"/>
      <c r="F66" s="23"/>
      <c r="G66" s="23"/>
      <c r="H66" s="2"/>
      <c r="I66" s="2"/>
      <c r="J66" s="52" t="s">
        <v>101</v>
      </c>
      <c r="K66" s="53"/>
      <c r="L66" s="53"/>
      <c r="M66" s="53"/>
      <c r="N66" s="53"/>
      <c r="O66" s="49"/>
      <c r="P66" s="49"/>
      <c r="Q66" s="40"/>
      <c r="R66" s="40"/>
      <c r="S66" s="81" t="s">
        <v>146</v>
      </c>
      <c r="T66" s="66"/>
      <c r="U66" t="s">
        <v>144</v>
      </c>
      <c r="W66" s="56"/>
    </row>
    <row r="67" spans="1:23" ht="12.75">
      <c r="A67" s="52" t="s">
        <v>100</v>
      </c>
      <c r="B67" s="53"/>
      <c r="C67" s="53"/>
      <c r="D67" s="53"/>
      <c r="E67" s="53"/>
      <c r="F67" s="49"/>
      <c r="G67" s="49"/>
      <c r="H67" s="40"/>
      <c r="I67" s="40"/>
      <c r="J67" s="9" t="s">
        <v>104</v>
      </c>
      <c r="K67" s="24"/>
      <c r="L67" s="24"/>
      <c r="M67" s="24"/>
      <c r="N67" s="24"/>
      <c r="O67" s="24"/>
      <c r="P67" s="24"/>
      <c r="Q67" s="11"/>
      <c r="R67" s="12"/>
      <c r="S67" s="82" t="s">
        <v>170</v>
      </c>
      <c r="T67" s="67"/>
      <c r="U67" t="s">
        <v>144</v>
      </c>
      <c r="W67" s="56"/>
    </row>
    <row r="68" spans="1:23" ht="12.75">
      <c r="A68" s="9" t="s">
        <v>102</v>
      </c>
      <c r="B68" s="24" t="s">
        <v>103</v>
      </c>
      <c r="C68" s="24"/>
      <c r="D68" s="24"/>
      <c r="E68" s="24"/>
      <c r="F68" s="24"/>
      <c r="G68" s="24"/>
      <c r="H68" s="11"/>
      <c r="I68" s="12"/>
      <c r="J68" s="2" t="s">
        <v>123</v>
      </c>
      <c r="K68" s="23">
        <v>8</v>
      </c>
      <c r="L68" s="31"/>
      <c r="M68" s="31"/>
      <c r="N68" s="31"/>
      <c r="O68" s="23"/>
      <c r="P68" s="23"/>
      <c r="Q68" s="2" t="s">
        <v>12</v>
      </c>
      <c r="R68" s="2"/>
      <c r="S68" s="83" t="s">
        <v>171</v>
      </c>
      <c r="T68" s="61"/>
      <c r="U68" t="s">
        <v>144</v>
      </c>
      <c r="W68" s="56"/>
    </row>
    <row r="69" spans="1:23" ht="12.75">
      <c r="A69" s="14" t="s">
        <v>174</v>
      </c>
      <c r="B69" s="23">
        <v>8</v>
      </c>
      <c r="C69" s="31"/>
      <c r="D69" s="31"/>
      <c r="E69" s="31"/>
      <c r="F69" s="23"/>
      <c r="G69" s="23"/>
      <c r="H69" s="2" t="s">
        <v>46</v>
      </c>
      <c r="I69" s="2"/>
      <c r="J69" s="2" t="s">
        <v>125</v>
      </c>
      <c r="K69" s="23">
        <v>10</v>
      </c>
      <c r="L69" s="31"/>
      <c r="M69" s="31"/>
      <c r="N69" s="31"/>
      <c r="O69" s="23"/>
      <c r="P69" s="23"/>
      <c r="Q69" s="2" t="s">
        <v>46</v>
      </c>
      <c r="R69" s="2"/>
      <c r="S69" s="84" t="s">
        <v>186</v>
      </c>
      <c r="T69" s="65"/>
      <c r="U69" t="s">
        <v>144</v>
      </c>
      <c r="W69" s="56"/>
    </row>
    <row r="70" spans="1:23" ht="12.75">
      <c r="A70" s="14" t="s">
        <v>105</v>
      </c>
      <c r="B70" s="23">
        <v>4</v>
      </c>
      <c r="C70" s="31"/>
      <c r="D70" s="31"/>
      <c r="E70" s="31"/>
      <c r="F70" s="23"/>
      <c r="G70" s="23"/>
      <c r="H70" s="17" t="s">
        <v>31</v>
      </c>
      <c r="I70" s="2"/>
      <c r="J70" s="2" t="s">
        <v>124</v>
      </c>
      <c r="K70" s="23">
        <v>7</v>
      </c>
      <c r="L70" s="31"/>
      <c r="M70" s="31"/>
      <c r="N70" s="31"/>
      <c r="O70" s="23"/>
      <c r="P70" s="23"/>
      <c r="Q70" s="2" t="s">
        <v>27</v>
      </c>
      <c r="R70" s="2"/>
      <c r="S70" s="2" t="s">
        <v>206</v>
      </c>
      <c r="T70" s="64"/>
      <c r="W70" s="56"/>
    </row>
    <row r="71" spans="1:23" ht="12.75">
      <c r="A71" s="14" t="s">
        <v>106</v>
      </c>
      <c r="B71" s="23">
        <v>4</v>
      </c>
      <c r="C71" s="31"/>
      <c r="D71" s="31"/>
      <c r="E71" s="31"/>
      <c r="F71" s="23"/>
      <c r="G71" s="23"/>
      <c r="H71" s="2" t="s">
        <v>27</v>
      </c>
      <c r="I71" s="2"/>
      <c r="J71" s="2" t="s">
        <v>126</v>
      </c>
      <c r="K71" s="23">
        <v>7</v>
      </c>
      <c r="L71" s="31"/>
      <c r="M71" s="31"/>
      <c r="N71" s="31"/>
      <c r="O71" s="23"/>
      <c r="P71" s="23"/>
      <c r="Q71" s="2" t="s">
        <v>20</v>
      </c>
      <c r="R71" s="2"/>
      <c r="S71" s="2" t="s">
        <v>207</v>
      </c>
      <c r="T71" s="88"/>
      <c r="U71" t="s">
        <v>144</v>
      </c>
      <c r="W71" s="56"/>
    </row>
    <row r="72" spans="1:19" ht="12.75">
      <c r="A72" s="14" t="s">
        <v>175</v>
      </c>
      <c r="B72" s="23">
        <v>4</v>
      </c>
      <c r="C72" s="31"/>
      <c r="D72" s="31"/>
      <c r="E72" s="31"/>
      <c r="F72" s="23"/>
      <c r="G72" s="23"/>
      <c r="H72" s="2" t="s">
        <v>46</v>
      </c>
      <c r="I72" s="2"/>
      <c r="J72" s="2" t="s">
        <v>143</v>
      </c>
      <c r="K72" s="23">
        <v>8</v>
      </c>
      <c r="L72" s="31"/>
      <c r="M72" s="31"/>
      <c r="N72" s="31"/>
      <c r="O72" s="23"/>
      <c r="P72" s="23"/>
      <c r="Q72" s="2" t="s">
        <v>46</v>
      </c>
      <c r="R72" s="2"/>
      <c r="S72" s="56"/>
    </row>
    <row r="73" spans="1:24" ht="12.75">
      <c r="A73" s="14" t="s">
        <v>176</v>
      </c>
      <c r="B73" s="23">
        <v>8</v>
      </c>
      <c r="C73" s="31"/>
      <c r="D73" s="31"/>
      <c r="E73" s="31"/>
      <c r="F73" s="23"/>
      <c r="G73" s="23"/>
      <c r="H73" s="2" t="s">
        <v>46</v>
      </c>
      <c r="I73" s="2"/>
      <c r="J73" s="2"/>
      <c r="K73" s="23"/>
      <c r="L73" s="31"/>
      <c r="M73" s="31"/>
      <c r="N73" s="31"/>
      <c r="O73" s="23"/>
      <c r="P73" s="23"/>
      <c r="Q73" s="2"/>
      <c r="R73" s="2"/>
      <c r="X73" s="46"/>
    </row>
    <row r="74" spans="1:18" ht="12.75">
      <c r="A74" s="52" t="s">
        <v>107</v>
      </c>
      <c r="B74" s="53"/>
      <c r="C74" s="53"/>
      <c r="D74" s="53"/>
      <c r="E74" s="53"/>
      <c r="F74" s="49"/>
      <c r="G74" s="49"/>
      <c r="H74" s="40"/>
      <c r="I74" s="40"/>
      <c r="J74" s="2" t="s">
        <v>127</v>
      </c>
      <c r="K74" s="23"/>
      <c r="L74" s="31"/>
      <c r="M74" s="31"/>
      <c r="N74" s="31"/>
      <c r="O74" s="23"/>
      <c r="P74" s="23"/>
      <c r="Q74" s="2"/>
      <c r="R74" s="2"/>
    </row>
    <row r="75" spans="1:18" ht="12.75">
      <c r="A75" s="9" t="s">
        <v>119</v>
      </c>
      <c r="B75" s="24"/>
      <c r="C75" s="24"/>
      <c r="D75" s="24"/>
      <c r="E75" s="24"/>
      <c r="F75" s="24"/>
      <c r="G75" s="24"/>
      <c r="H75" s="11"/>
      <c r="I75" s="12"/>
      <c r="J75" s="52" t="s">
        <v>190</v>
      </c>
      <c r="K75" s="55"/>
      <c r="L75" s="55"/>
      <c r="M75" s="55"/>
      <c r="N75" s="55"/>
      <c r="O75" s="49"/>
      <c r="P75" s="49"/>
      <c r="Q75" s="40"/>
      <c r="R75" s="40"/>
    </row>
    <row r="76" spans="1:9" ht="12.75">
      <c r="A76" s="14" t="s">
        <v>108</v>
      </c>
      <c r="B76" s="23">
        <v>3</v>
      </c>
      <c r="C76" s="31"/>
      <c r="D76" s="31"/>
      <c r="E76" s="31"/>
      <c r="F76" s="23"/>
      <c r="G76" s="23"/>
      <c r="H76" s="2" t="s">
        <v>46</v>
      </c>
      <c r="I76" s="2"/>
    </row>
    <row r="77" spans="1:18" ht="12.75">
      <c r="A77" s="14" t="s">
        <v>109</v>
      </c>
      <c r="B77" s="23">
        <v>5</v>
      </c>
      <c r="C77" s="31"/>
      <c r="D77" s="31"/>
      <c r="E77" s="31"/>
      <c r="F77" s="23"/>
      <c r="G77" s="23"/>
      <c r="H77" s="2" t="s">
        <v>46</v>
      </c>
      <c r="I77" s="2"/>
      <c r="J77" s="62" t="s">
        <v>179</v>
      </c>
      <c r="K77" s="59"/>
      <c r="L77" s="59"/>
      <c r="M77" s="59"/>
      <c r="N77" s="59"/>
      <c r="O77" s="76"/>
      <c r="P77" s="58"/>
      <c r="Q77" s="62"/>
      <c r="R77" s="60"/>
    </row>
    <row r="78" spans="1:17" ht="12.75">
      <c r="A78" s="14" t="s">
        <v>110</v>
      </c>
      <c r="B78" s="23">
        <v>9</v>
      </c>
      <c r="C78" s="31"/>
      <c r="D78" s="31"/>
      <c r="E78" s="31"/>
      <c r="F78" s="23"/>
      <c r="G78" s="23"/>
      <c r="H78" s="2" t="s">
        <v>46</v>
      </c>
      <c r="I78" s="2"/>
      <c r="J78" s="178" t="s">
        <v>195</v>
      </c>
      <c r="K78" s="178"/>
      <c r="L78" s="178"/>
      <c r="M78" s="178"/>
      <c r="N78" s="178"/>
      <c r="O78" s="181"/>
      <c r="P78" s="56"/>
      <c r="Q78" s="56"/>
    </row>
    <row r="79" spans="1:18" ht="12.75">
      <c r="A79" s="14" t="s">
        <v>111</v>
      </c>
      <c r="B79" s="23">
        <v>3</v>
      </c>
      <c r="C79" s="31"/>
      <c r="D79" s="31"/>
      <c r="E79" s="31"/>
      <c r="F79" s="23"/>
      <c r="G79" s="23"/>
      <c r="H79" s="2" t="s">
        <v>46</v>
      </c>
      <c r="I79" s="2"/>
      <c r="J79" s="177" t="s">
        <v>181</v>
      </c>
      <c r="K79" s="164"/>
      <c r="L79" s="164"/>
      <c r="M79" s="164"/>
      <c r="N79" s="164"/>
      <c r="O79" s="70"/>
      <c r="P79" s="57"/>
      <c r="Q79" s="57"/>
      <c r="R79" s="27"/>
    </row>
    <row r="80" spans="1:17" ht="12.75">
      <c r="A80" s="14" t="s">
        <v>112</v>
      </c>
      <c r="B80" s="23">
        <v>5</v>
      </c>
      <c r="C80" s="31"/>
      <c r="D80" s="31"/>
      <c r="E80" s="31"/>
      <c r="F80" s="23"/>
      <c r="G80" s="23"/>
      <c r="H80" s="2" t="s">
        <v>46</v>
      </c>
      <c r="I80" s="2"/>
      <c r="J80" s="177" t="s">
        <v>182</v>
      </c>
      <c r="K80" s="164"/>
      <c r="L80" s="164"/>
      <c r="M80" s="164"/>
      <c r="N80" s="164"/>
      <c r="O80" s="70"/>
      <c r="P80" s="56"/>
      <c r="Q80" s="56"/>
    </row>
    <row r="81" spans="1:17" ht="12.75">
      <c r="A81" s="14" t="s">
        <v>113</v>
      </c>
      <c r="B81" s="23">
        <v>1</v>
      </c>
      <c r="C81" s="31"/>
      <c r="D81" s="31"/>
      <c r="E81" s="31"/>
      <c r="F81" s="23"/>
      <c r="G81" s="23"/>
      <c r="H81" s="2" t="s">
        <v>46</v>
      </c>
      <c r="I81" s="2"/>
      <c r="J81" s="177" t="s">
        <v>187</v>
      </c>
      <c r="K81" s="164"/>
      <c r="L81" s="164"/>
      <c r="M81" s="164"/>
      <c r="N81" s="164"/>
      <c r="O81" s="70"/>
      <c r="P81" s="56"/>
      <c r="Q81" s="56"/>
    </row>
    <row r="82" spans="1:17" ht="12.75">
      <c r="A82" s="14" t="s">
        <v>114</v>
      </c>
      <c r="B82" s="23">
        <v>9</v>
      </c>
      <c r="C82" s="31"/>
      <c r="D82" s="31"/>
      <c r="E82" s="31"/>
      <c r="F82" s="23"/>
      <c r="G82" s="23"/>
      <c r="H82" s="2" t="s">
        <v>46</v>
      </c>
      <c r="I82" s="2"/>
      <c r="J82" s="177" t="s">
        <v>184</v>
      </c>
      <c r="K82" s="165"/>
      <c r="L82" s="165"/>
      <c r="M82" s="165"/>
      <c r="N82" s="165"/>
      <c r="O82" s="70"/>
      <c r="P82" s="56"/>
      <c r="Q82" s="56"/>
    </row>
    <row r="83" spans="1:17" ht="12.75">
      <c r="A83" s="14" t="s">
        <v>115</v>
      </c>
      <c r="B83" s="23">
        <v>9</v>
      </c>
      <c r="C83" s="31"/>
      <c r="D83" s="31"/>
      <c r="E83" s="31"/>
      <c r="F83" s="23"/>
      <c r="G83" s="23"/>
      <c r="H83" s="2" t="s">
        <v>46</v>
      </c>
      <c r="I83" s="2"/>
      <c r="J83" s="177" t="s">
        <v>183</v>
      </c>
      <c r="K83" s="161"/>
      <c r="L83" s="161"/>
      <c r="M83" s="161"/>
      <c r="N83" s="161"/>
      <c r="O83" s="70"/>
      <c r="P83" s="56"/>
      <c r="Q83" s="56"/>
    </row>
    <row r="84" spans="1:17" ht="12.75">
      <c r="A84" s="14" t="s">
        <v>116</v>
      </c>
      <c r="B84" s="23">
        <v>3</v>
      </c>
      <c r="C84" s="31"/>
      <c r="D84" s="31"/>
      <c r="E84" s="31"/>
      <c r="F84" s="23"/>
      <c r="G84" s="23"/>
      <c r="H84" s="2" t="s">
        <v>46</v>
      </c>
      <c r="I84" s="2"/>
      <c r="J84" s="178" t="s">
        <v>194</v>
      </c>
      <c r="K84" s="179"/>
      <c r="L84" s="179"/>
      <c r="M84" s="179"/>
      <c r="N84" s="180"/>
      <c r="O84" s="70"/>
      <c r="P84" s="56"/>
      <c r="Q84" s="56"/>
    </row>
    <row r="85" spans="1:17" ht="12.75">
      <c r="A85" s="14"/>
      <c r="B85" s="23"/>
      <c r="C85" s="31"/>
      <c r="D85" s="31"/>
      <c r="E85" s="31"/>
      <c r="F85" s="23"/>
      <c r="G85" s="23"/>
      <c r="H85" s="2"/>
      <c r="I85" s="2"/>
      <c r="J85" s="56"/>
      <c r="K85" s="56"/>
      <c r="L85" s="56"/>
      <c r="M85" s="56"/>
      <c r="N85" s="56"/>
      <c r="O85" s="56"/>
      <c r="P85" s="56"/>
      <c r="Q85" s="56"/>
    </row>
    <row r="86" spans="1:17" ht="12.75">
      <c r="A86" s="14"/>
      <c r="B86" s="23"/>
      <c r="C86" s="31"/>
      <c r="D86" s="31"/>
      <c r="E86" s="31"/>
      <c r="F86" s="23"/>
      <c r="G86" s="23"/>
      <c r="H86" s="2"/>
      <c r="I86" s="2"/>
      <c r="J86" s="56"/>
      <c r="K86" s="56"/>
      <c r="L86" s="56"/>
      <c r="M86" s="56"/>
      <c r="N86" s="56"/>
      <c r="O86" s="56"/>
      <c r="P86" s="56"/>
      <c r="Q86" s="56"/>
    </row>
    <row r="87" spans="1:17" ht="12.75">
      <c r="A87" s="52" t="s">
        <v>117</v>
      </c>
      <c r="B87" s="53"/>
      <c r="C87" s="53"/>
      <c r="D87" s="53"/>
      <c r="E87" s="53"/>
      <c r="F87" s="49"/>
      <c r="G87" s="49"/>
      <c r="H87" s="40"/>
      <c r="I87" s="40"/>
      <c r="J87" s="56"/>
      <c r="K87" s="56"/>
      <c r="L87" s="56"/>
      <c r="M87" s="56"/>
      <c r="N87" s="56"/>
      <c r="O87" s="56"/>
      <c r="P87" s="56"/>
      <c r="Q87" s="56"/>
    </row>
    <row r="88" spans="1:17" ht="12.75">
      <c r="A88" s="9" t="s">
        <v>118</v>
      </c>
      <c r="B88" s="24"/>
      <c r="C88" s="24"/>
      <c r="D88" s="24"/>
      <c r="E88" s="24"/>
      <c r="F88" s="24"/>
      <c r="G88" s="24"/>
      <c r="H88" s="11"/>
      <c r="I88" s="12"/>
      <c r="J88" s="56"/>
      <c r="K88" s="56"/>
      <c r="L88" s="56"/>
      <c r="M88" s="56"/>
      <c r="N88" s="56"/>
      <c r="O88" s="56"/>
      <c r="P88" s="56"/>
      <c r="Q88" s="56"/>
    </row>
    <row r="89" spans="1:17" ht="12.75">
      <c r="A89" s="14" t="s">
        <v>120</v>
      </c>
      <c r="B89" s="23">
        <v>4</v>
      </c>
      <c r="C89" s="31"/>
      <c r="D89" s="31"/>
      <c r="E89" s="31"/>
      <c r="F89" s="23"/>
      <c r="G89" s="23"/>
      <c r="H89" s="2" t="s">
        <v>12</v>
      </c>
      <c r="I89" s="2"/>
      <c r="J89" s="56"/>
      <c r="K89" s="56"/>
      <c r="L89" s="56"/>
      <c r="M89" s="56"/>
      <c r="N89" s="56"/>
      <c r="O89" s="56"/>
      <c r="P89" s="56"/>
      <c r="Q89" s="56"/>
    </row>
    <row r="90" spans="1:17" ht="12.75">
      <c r="A90" s="14" t="s">
        <v>121</v>
      </c>
      <c r="B90" s="23">
        <v>8</v>
      </c>
      <c r="C90" s="31"/>
      <c r="D90" s="31"/>
      <c r="E90" s="31"/>
      <c r="F90" s="23"/>
      <c r="G90" s="23"/>
      <c r="H90" s="2" t="s">
        <v>12</v>
      </c>
      <c r="I90" s="2"/>
      <c r="J90" s="56"/>
      <c r="K90" s="56"/>
      <c r="L90" s="56"/>
      <c r="M90" s="56"/>
      <c r="N90" s="56"/>
      <c r="O90" s="56"/>
      <c r="P90" s="56"/>
      <c r="Q90" s="56"/>
    </row>
    <row r="91" spans="1:17" ht="12.75">
      <c r="A91" s="14"/>
      <c r="B91" s="23"/>
      <c r="C91" s="31"/>
      <c r="D91" s="31"/>
      <c r="E91" s="31"/>
      <c r="F91" s="23"/>
      <c r="G91" s="23"/>
      <c r="H91" s="2"/>
      <c r="I91" s="2"/>
      <c r="J91" s="56"/>
      <c r="K91" s="56"/>
      <c r="L91" s="56"/>
      <c r="M91" s="56"/>
      <c r="N91" s="56"/>
      <c r="O91" s="56"/>
      <c r="P91" s="56"/>
      <c r="Q91" s="56"/>
    </row>
    <row r="92" spans="1:9" ht="12.75">
      <c r="A92" s="14"/>
      <c r="B92" s="23"/>
      <c r="C92" s="31"/>
      <c r="D92" s="31"/>
      <c r="E92" s="31"/>
      <c r="F92" s="23"/>
      <c r="G92" s="23"/>
      <c r="H92" s="2"/>
      <c r="I92" s="2"/>
    </row>
    <row r="93" spans="1:9" ht="12.75">
      <c r="A93" s="52" t="s">
        <v>122</v>
      </c>
      <c r="B93" s="55"/>
      <c r="C93" s="55"/>
      <c r="D93" s="55"/>
      <c r="E93" s="55"/>
      <c r="F93" s="49"/>
      <c r="G93" s="49"/>
      <c r="H93" s="40"/>
      <c r="I93" s="40"/>
    </row>
    <row r="98" ht="12.75">
      <c r="A98" s="19" t="s">
        <v>138</v>
      </c>
    </row>
  </sheetData>
  <sheetProtection/>
  <mergeCells count="18">
    <mergeCell ref="S53:T53"/>
    <mergeCell ref="J78:O78"/>
    <mergeCell ref="G2:K2"/>
    <mergeCell ref="B3:G3"/>
    <mergeCell ref="K3:Q3"/>
    <mergeCell ref="B4:G4"/>
    <mergeCell ref="K4:Q4"/>
    <mergeCell ref="B5:G5"/>
    <mergeCell ref="B53:D53"/>
    <mergeCell ref="E53:I53"/>
    <mergeCell ref="K53:N53"/>
    <mergeCell ref="P53:Q53"/>
    <mergeCell ref="J79:N79"/>
    <mergeCell ref="J84:N84"/>
    <mergeCell ref="J80:N80"/>
    <mergeCell ref="J81:N81"/>
    <mergeCell ref="J82:N82"/>
    <mergeCell ref="J83:N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Craddock, Timothy D</cp:lastModifiedBy>
  <cp:lastPrinted>2003-07-26T21:39:19Z</cp:lastPrinted>
  <dcterms:created xsi:type="dcterms:W3CDTF">2000-04-28T14:34:47Z</dcterms:created>
  <dcterms:modified xsi:type="dcterms:W3CDTF">2017-08-22T15:09:06Z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Craddock, Tim</vt:lpwstr>
  </property>
  <property fmtid="{D5CDD505-2E9C-101B-9397-08002B2CF9AE}" pid="5" name="display_urn:schemas-microsoft-com:office:office#Author">
    <vt:lpwstr>Craddock, Tim</vt:lpwstr>
  </property>
</Properties>
</file>