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3.bin" ContentType="application/vnd.ms-office.activeX"/>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C:\Users\l3pmceom\Documents\@WRAP Huntington District Assessment Calculator\WV-SWVM 2.0\"/>
    </mc:Choice>
  </mc:AlternateContent>
  <xr:revisionPtr revIDLastSave="0" documentId="8_{E15A2DE2-5430-45FB-A538-EFFBA6B2F808}" xr6:coauthVersionLast="47" xr6:coauthVersionMax="47" xr10:uidLastSave="{00000000-0000-0000-0000-000000000000}"/>
  <workbookProtection workbookAlgorithmName="SHA-512" workbookHashValue="As4a7FlhlU5OZojS1u5AZ0XAI9xGdzh2qXbSXo62P47T/8Sj82khax0jZ826SgFeNpgxKhGicTvUbmesMC4YRQ==" workbookSaltValue="Zvd7kYRuBA0yP3DTS37U7g==" workbookSpinCount="100000" lockStructure="1"/>
  <bookViews>
    <workbookView xWindow="2385" yWindow="-15795" windowWidth="24195" windowHeight="15600" firstSheet="1" activeTab="1" xr2:uid="{34CDDF1E-4AEE-4669-97B1-EEED2580BF55}"/>
  </bookViews>
  <sheets>
    <sheet name="Sheet2" sheetId="5" state="hidden" r:id="rId1"/>
    <sheet name="Instructions" sheetId="24" r:id="rId2"/>
    <sheet name="Stream Parts I-II" sheetId="4" r:id="rId3"/>
    <sheet name="Sheet1" sheetId="20" state="hidden" r:id="rId4"/>
    <sheet name="Lists and Arrays" sheetId="14" state="hidden" r:id="rId5"/>
    <sheet name="Stream Parts III-VI" sheetId="8" r:id="rId6"/>
    <sheet name="Multiple Site Unit Comparison" sheetId="10" state="hidden" r:id="rId7"/>
    <sheet name="Wetlands Parts I-II" sheetId="21" r:id="rId8"/>
    <sheet name="Wetland Part III-Credits" sheetId="22" r:id="rId9"/>
    <sheet name="Wetland Parts IV-V" sheetId="23" r:id="rId10"/>
    <sheet name="code" sheetId="13" state="hidden" r:id="rId11"/>
  </sheets>
  <externalReferences>
    <externalReference r:id="rId12"/>
    <externalReference r:id="rId13"/>
    <externalReference r:id="rId14"/>
  </externalReferences>
  <definedNames>
    <definedName name="_xlnm._FilterDatabase" localSheetId="5" hidden="1">'Stream Parts III-VI'!$I$31:$I$35</definedName>
    <definedName name="_ftn1" localSheetId="1">Instructions!#REF!</definedName>
    <definedName name="_ftnref1" localSheetId="1">Instructions!$B$28</definedName>
    <definedName name="AquaticLifeUse" localSheetId="1">'[1]Lists and Arrays'!$B$23:$B$31</definedName>
    <definedName name="AquaticLifeUse">'Lists and Arrays'!$B$23:$B$31</definedName>
    <definedName name="CopyEcoregions">'[2]Lists and Arrays'!$B$5:$B$10</definedName>
    <definedName name="CopyRPBdatasheet">'[2]Lists and Arrays'!$B$34:$B$36</definedName>
    <definedName name="Ecoregions" localSheetId="1">'[1]Lists and Arrays'!$B$5:$B$10</definedName>
    <definedName name="Ecoregions">'Lists and Arrays'!$B$5:$B$10</definedName>
    <definedName name="HGM">'Lists and Arrays'!$B$18</definedName>
    <definedName name="HGMSubclasses">'Lists and Arrays'!$B$18:$B$20</definedName>
    <definedName name="LongTermProtection">'Lists and Arrays'!$S$67:$S$73</definedName>
    <definedName name="MacroinvertNarrAssess" localSheetId="1">'[1]Lists and Arrays'!$F$66:$F$75</definedName>
    <definedName name="MacroinvertNarrAssess">'Lists and Arrays'!$F$66:$F$75</definedName>
    <definedName name="neg3to12" localSheetId="1">'[3]Lists and Arrays'!$B$41:$B$56</definedName>
    <definedName name="neg3to12">'Lists and Arrays'!$B$41:$B$56</definedName>
    <definedName name="OLE_LINK7" localSheetId="1">Instructions!$B$3</definedName>
    <definedName name="PoolDepth" localSheetId="1">'[1]Lists and Arrays'!$C$13:$C$15</definedName>
    <definedName name="PoolDepth">'Lists and Arrays'!$C$13:$C$15</definedName>
    <definedName name="_xlnm.Print_Area" localSheetId="1">Instructions!$A:$Q</definedName>
    <definedName name="_xlnm.Print_Area" localSheetId="6">'Multiple Site Unit Comparison'!$A$1:$Z$52</definedName>
    <definedName name="_xlnm.Print_Titles" localSheetId="2">'Stream Parts I-II'!$2:$6</definedName>
    <definedName name="RBPQHEIDropdown" localSheetId="1">'[1]Lists and Arrays'!$B$40:$B$60</definedName>
    <definedName name="RBPQHEIDropdown">'Lists and Arrays'!$B$44:$B$64</definedName>
    <definedName name="RPBDataSheet" localSheetId="1">'[1]Lists and Arrays'!$B$34:$B$36</definedName>
    <definedName name="RPBDataSheet">'Lists and Arrays'!$B$34:$B$36</definedName>
    <definedName name="StreamClass">'Lists and Arrays'!$B$14:$B$16</definedName>
    <definedName name="StreamClass1" localSheetId="1">'[1]Lists and Arrays'!$B$13:$B$16</definedName>
    <definedName name="StreamClass1">'Lists and Arrays'!$B$13:$B$16</definedName>
    <definedName name="TempLossConstruction" localSheetId="1">'[3]Lists and Arrays'!$S$4:$S$26</definedName>
    <definedName name="TempLossConstruction">'Lists and Arrays'!$S$4:$S$26</definedName>
    <definedName name="TempLossMaturity" localSheetId="1">'[3]Lists and Arrays'!$S$30:$S$61</definedName>
    <definedName name="TempLossMaturity">'Lists and Arrays'!$S$30:$S$61</definedName>
    <definedName name="ToEight" localSheetId="1">'[1]Lists and Arrays'!$B$40:$B$48</definedName>
    <definedName name="ToEight">'Lists and Arrays'!$B$44:$B$52</definedName>
    <definedName name="ToForty" localSheetId="1">'[1]Lists and Arrays'!$B$40:$B$80</definedName>
    <definedName name="ToForty">'Lists and Arrays'!$B$44:$B$84</definedName>
    <definedName name="ToTen" localSheetId="1">'[1]Lists and Arrays'!$B$40:$B$50</definedName>
    <definedName name="ToTen">'Lists and Arrays'!$B$44:$B$54</definedName>
    <definedName name="ToThirty" localSheetId="1">'[1]Lists and Arrays'!$B$40:$B$70</definedName>
    <definedName name="ToThirty">'Lists and Arrays'!$B$44:$B$74</definedName>
    <definedName name="ToTwelve" localSheetId="1">'[1]Lists and Arrays'!$B$40:$B$52</definedName>
    <definedName name="ToTwelve">'Lists and Arrays'!$B$44:$B$56</definedName>
    <definedName name="YesOrNo" localSheetId="1">'[1]Lists and Arrays'!$Q$4:$Q$6</definedName>
    <definedName name="YesOrNo">'Lists and Arrays'!$Q$4:$Q$6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8" l="1"/>
  <c r="Y59" i="4"/>
  <c r="S59" i="4"/>
  <c r="N59" i="4"/>
  <c r="H59" i="4"/>
  <c r="C59" i="4" l="1"/>
  <c r="K7" i="23"/>
  <c r="F6" i="23"/>
  <c r="H8" i="23"/>
  <c r="H9" i="23" s="1"/>
  <c r="F8" i="8"/>
  <c r="A18" i="23"/>
  <c r="C20" i="23" s="1"/>
  <c r="A19" i="8"/>
  <c r="A6" i="23"/>
  <c r="A8" i="8"/>
  <c r="U26" i="22"/>
  <c r="U25" i="22"/>
  <c r="U24" i="22"/>
  <c r="U23" i="22"/>
  <c r="G4" i="22"/>
  <c r="T20" i="21"/>
  <c r="S20" i="21" s="1"/>
  <c r="T19" i="21"/>
  <c r="S19" i="21" s="1"/>
  <c r="T18" i="21"/>
  <c r="S18" i="21" s="1"/>
  <c r="T17" i="21"/>
  <c r="S17" i="21" s="1"/>
  <c r="T16" i="21"/>
  <c r="S16" i="21" s="1"/>
  <c r="T15" i="21"/>
  <c r="S15" i="21" s="1"/>
  <c r="T14" i="21"/>
  <c r="S14" i="21" s="1"/>
  <c r="T13" i="21"/>
  <c r="S13" i="21" s="1"/>
  <c r="T12" i="21"/>
  <c r="S12" i="21" s="1"/>
  <c r="T11" i="21"/>
  <c r="S11" i="21" s="1"/>
  <c r="T10" i="21"/>
  <c r="S10" i="21" s="1"/>
  <c r="T9" i="21"/>
  <c r="S9" i="21" s="1"/>
  <c r="Q5" i="21"/>
  <c r="M38" i="8" l="1"/>
  <c r="M37" i="8"/>
  <c r="M36" i="8"/>
  <c r="M35" i="8"/>
  <c r="L38" i="8"/>
  <c r="N12" i="8"/>
  <c r="X12" i="4"/>
  <c r="R12" i="4"/>
  <c r="M12" i="4"/>
  <c r="G12" i="4"/>
  <c r="A20" i="14"/>
  <c r="AA15" i="4" s="1"/>
  <c r="A18" i="14"/>
  <c r="E15" i="4" s="1"/>
  <c r="B12" i="4"/>
  <c r="N7" i="4"/>
  <c r="M20" i="4"/>
  <c r="M27" i="4" s="1"/>
  <c r="G27" i="4"/>
  <c r="G24" i="4"/>
  <c r="G23" i="4"/>
  <c r="G22" i="4"/>
  <c r="G21" i="4"/>
  <c r="B27" i="4"/>
  <c r="G25" i="4"/>
  <c r="B24" i="4"/>
  <c r="B23" i="4"/>
  <c r="B22" i="4"/>
  <c r="B21" i="4"/>
  <c r="A43" i="8"/>
  <c r="Q5" i="22"/>
  <c r="R5" i="22"/>
  <c r="S5" i="22"/>
  <c r="Q6" i="22"/>
  <c r="R6" i="22"/>
  <c r="S6" i="22"/>
  <c r="Q7" i="22"/>
  <c r="R7" i="22"/>
  <c r="S7" i="22"/>
  <c r="Q8" i="22"/>
  <c r="R8" i="22"/>
  <c r="S8" i="22"/>
  <c r="Q9" i="22"/>
  <c r="R9" i="22"/>
  <c r="S9" i="22"/>
  <c r="Q10" i="22"/>
  <c r="R10" i="22"/>
  <c r="S10" i="22"/>
  <c r="Q11" i="22"/>
  <c r="R11" i="22"/>
  <c r="S11" i="22"/>
  <c r="Q12" i="22"/>
  <c r="R12" i="22"/>
  <c r="S12" i="22"/>
  <c r="Q13" i="22"/>
  <c r="R13" i="22"/>
  <c r="S13" i="22"/>
  <c r="Q14" i="22"/>
  <c r="R14" i="22"/>
  <c r="S14" i="22"/>
  <c r="Q15" i="22"/>
  <c r="R15" i="22"/>
  <c r="S15" i="22"/>
  <c r="S4" i="22"/>
  <c r="R4" i="22"/>
  <c r="U4" i="22" s="1"/>
  <c r="Q4" i="22"/>
  <c r="X66" i="4"/>
  <c r="R66" i="4"/>
  <c r="M66" i="4"/>
  <c r="J15" i="4" l="1"/>
  <c r="P15" i="4"/>
  <c r="U15" i="4"/>
  <c r="M21" i="4"/>
  <c r="M23" i="4"/>
  <c r="M24" i="4"/>
  <c r="M25" i="4"/>
  <c r="M22" i="4"/>
  <c r="E64" i="4"/>
  <c r="J10" i="21" l="1"/>
  <c r="M10" i="21" s="1"/>
  <c r="J11" i="21"/>
  <c r="M11" i="21" s="1"/>
  <c r="J12" i="21"/>
  <c r="M12" i="21" s="1"/>
  <c r="J13" i="21"/>
  <c r="M13" i="21" s="1"/>
  <c r="J14" i="21"/>
  <c r="M14" i="21" s="1"/>
  <c r="J15" i="21"/>
  <c r="M15" i="21" s="1"/>
  <c r="J16" i="21"/>
  <c r="M16" i="21" s="1"/>
  <c r="J17" i="21"/>
  <c r="M17" i="21" s="1"/>
  <c r="J18" i="21"/>
  <c r="M18" i="21" s="1"/>
  <c r="J19" i="21"/>
  <c r="M19" i="21" s="1"/>
  <c r="J20" i="21"/>
  <c r="M20" i="21" s="1"/>
  <c r="J9" i="21"/>
  <c r="M9" i="21" s="1"/>
  <c r="J64" i="4" l="1"/>
  <c r="J67" i="4"/>
  <c r="J68" i="4" s="1"/>
  <c r="E67" i="4"/>
  <c r="E68" i="4" s="1"/>
  <c r="M62" i="4"/>
  <c r="H69" i="4"/>
  <c r="H68" i="4"/>
  <c r="X62" i="4"/>
  <c r="R62" i="4"/>
  <c r="G62" i="4"/>
  <c r="H64" i="4"/>
  <c r="J31" i="4"/>
  <c r="C64" i="4"/>
  <c r="C69" i="4"/>
  <c r="C68" i="4"/>
  <c r="E31" i="4"/>
  <c r="B62" i="4"/>
  <c r="J69" i="4" l="1"/>
  <c r="E69" i="4"/>
  <c r="C8" i="23"/>
  <c r="V15" i="22"/>
  <c r="U15" i="22"/>
  <c r="T15" i="22"/>
  <c r="G15" i="22"/>
  <c r="V14" i="22"/>
  <c r="U14" i="22"/>
  <c r="T14" i="22"/>
  <c r="G14" i="22"/>
  <c r="V13" i="22"/>
  <c r="U13" i="22"/>
  <c r="T13" i="22"/>
  <c r="G13" i="22"/>
  <c r="V12" i="22"/>
  <c r="U12" i="22"/>
  <c r="T12" i="22"/>
  <c r="G12" i="22"/>
  <c r="V11" i="22"/>
  <c r="U11" i="22"/>
  <c r="T11" i="22"/>
  <c r="G11" i="22"/>
  <c r="V10" i="22"/>
  <c r="U10" i="22"/>
  <c r="T10" i="22"/>
  <c r="G10" i="22"/>
  <c r="V9" i="22"/>
  <c r="U9" i="22"/>
  <c r="T9" i="22"/>
  <c r="G9" i="22"/>
  <c r="V8" i="22"/>
  <c r="U8" i="22"/>
  <c r="T8" i="22"/>
  <c r="G8" i="22"/>
  <c r="V7" i="22"/>
  <c r="U7" i="22"/>
  <c r="T7" i="22"/>
  <c r="G7" i="22"/>
  <c r="V6" i="22"/>
  <c r="U6" i="22"/>
  <c r="T6" i="22"/>
  <c r="G6" i="22"/>
  <c r="V5" i="22"/>
  <c r="U5" i="22"/>
  <c r="T5" i="22"/>
  <c r="G5" i="22"/>
  <c r="V4" i="22"/>
  <c r="T4" i="22"/>
  <c r="F21" i="21"/>
  <c r="N15" i="22" l="1"/>
  <c r="N11" i="22"/>
  <c r="N13" i="22"/>
  <c r="N10" i="22"/>
  <c r="N6" i="22"/>
  <c r="N14" i="22"/>
  <c r="N7" i="22"/>
  <c r="N8" i="22"/>
  <c r="N4" i="22"/>
  <c r="N12" i="22"/>
  <c r="N9" i="22"/>
  <c r="N5" i="22"/>
  <c r="G16" i="22"/>
  <c r="M23" i="21"/>
  <c r="C9" i="23" s="1"/>
  <c r="F24" i="23" s="1"/>
  <c r="A24" i="23" l="1"/>
  <c r="N16" i="22"/>
  <c r="D18" i="22" s="1"/>
  <c r="H24" i="23" s="1"/>
  <c r="I24" i="23" s="1"/>
  <c r="O25" i="14" l="1"/>
  <c r="AH45" i="4" s="1"/>
  <c r="N25" i="14"/>
  <c r="X45" i="4" s="1"/>
  <c r="M25" i="14"/>
  <c r="AG45" i="4" s="1"/>
  <c r="L25" i="14"/>
  <c r="R45" i="4" s="1"/>
  <c r="K25" i="14"/>
  <c r="AF45" i="4" s="1"/>
  <c r="J25" i="14"/>
  <c r="M45" i="4" s="1"/>
  <c r="I25" i="14"/>
  <c r="AE45" i="4" s="1"/>
  <c r="H25" i="14"/>
  <c r="G45" i="4" s="1"/>
  <c r="F25" i="14"/>
  <c r="B45" i="4" s="1"/>
  <c r="G25" i="14" l="1"/>
  <c r="AD45" i="4" s="1"/>
  <c r="O18" i="14"/>
  <c r="AH42" i="4" s="1"/>
  <c r="N18" i="14"/>
  <c r="M18" i="14"/>
  <c r="AG42" i="4" s="1"/>
  <c r="K18" i="14"/>
  <c r="AF42" i="4" s="1"/>
  <c r="L18" i="14"/>
  <c r="J18" i="14"/>
  <c r="H18" i="14"/>
  <c r="N11" i="14"/>
  <c r="L11" i="14"/>
  <c r="J11" i="14"/>
  <c r="H11" i="14"/>
  <c r="F18" i="14" l="1"/>
  <c r="C2" i="20"/>
  <c r="N9" i="4"/>
  <c r="S9" i="4"/>
  <c r="Y9" i="4"/>
  <c r="M42" i="4" l="1"/>
  <c r="I18" i="14"/>
  <c r="AE42" i="4" s="1"/>
  <c r="G42" i="4"/>
  <c r="X42" i="4"/>
  <c r="R42" i="4"/>
  <c r="F11" i="14"/>
  <c r="B39" i="4" s="1"/>
  <c r="G11" i="14" s="1"/>
  <c r="AD39" i="4" s="1"/>
  <c r="B42" i="4"/>
  <c r="G18" i="14" s="1"/>
  <c r="AD42" i="4" s="1"/>
  <c r="AD57" i="4" l="1"/>
  <c r="E47" i="4" s="1"/>
  <c r="O11" i="14" l="1"/>
  <c r="AH39" i="4" s="1"/>
  <c r="X39" i="4"/>
  <c r="M11" i="14"/>
  <c r="AG39" i="4" s="1"/>
  <c r="R39" i="4"/>
  <c r="K11" i="14"/>
  <c r="AF39" i="4" s="1"/>
  <c r="M39" i="4"/>
  <c r="I11" i="14"/>
  <c r="AE39" i="4" s="1"/>
  <c r="G39" i="4"/>
  <c r="H33" i="4"/>
  <c r="G14" i="4" l="1"/>
  <c r="D79" i="4" l="1"/>
  <c r="AD70" i="4" l="1"/>
  <c r="F9" i="14" l="1"/>
  <c r="C50" i="8" l="1"/>
  <c r="E96" i="8" l="1"/>
  <c r="E92" i="8"/>
  <c r="O6" i="14" l="1"/>
  <c r="O13" i="14"/>
  <c r="O20" i="14"/>
  <c r="I6" i="14"/>
  <c r="I13" i="14"/>
  <c r="I20" i="14"/>
  <c r="G13" i="4"/>
  <c r="X13" i="4" s="1"/>
  <c r="AF50" i="4"/>
  <c r="AF53" i="4"/>
  <c r="AF56" i="4"/>
  <c r="M28" i="14"/>
  <c r="AG50" i="4"/>
  <c r="M35" i="14"/>
  <c r="AG53" i="4"/>
  <c r="M42" i="14"/>
  <c r="AG56" i="4"/>
  <c r="O42" i="14"/>
  <c r="AH56" i="4"/>
  <c r="O28" i="14"/>
  <c r="AH50" i="4"/>
  <c r="O35" i="14"/>
  <c r="AH53" i="4"/>
  <c r="AE50" i="4"/>
  <c r="AE53" i="4"/>
  <c r="AE56" i="4"/>
  <c r="AE70" i="4"/>
  <c r="O38" i="14"/>
  <c r="O37" i="14"/>
  <c r="O36" i="14"/>
  <c r="O34" i="14"/>
  <c r="J32" i="4"/>
  <c r="J33" i="4" s="1"/>
  <c r="Y8" i="4"/>
  <c r="S8" i="4"/>
  <c r="N8" i="4"/>
  <c r="AD4" i="4"/>
  <c r="B37" i="4"/>
  <c r="X20" i="4"/>
  <c r="R20" i="4"/>
  <c r="P31" i="4"/>
  <c r="D49" i="4"/>
  <c r="L35" i="8"/>
  <c r="D59" i="8" s="1"/>
  <c r="D92" i="8" s="1"/>
  <c r="F92" i="8" s="1"/>
  <c r="L36" i="8"/>
  <c r="D60" i="8" s="1"/>
  <c r="N36" i="8"/>
  <c r="E42" i="8" s="1"/>
  <c r="D63" i="8"/>
  <c r="D96" i="8" s="1"/>
  <c r="F96" i="8" s="1"/>
  <c r="O38" i="8"/>
  <c r="L39" i="8"/>
  <c r="D64" i="8" s="1"/>
  <c r="O56" i="8"/>
  <c r="O57" i="8"/>
  <c r="Y75" i="4"/>
  <c r="S75" i="4"/>
  <c r="N75" i="4"/>
  <c r="C75" i="4"/>
  <c r="F52" i="14"/>
  <c r="F51" i="14"/>
  <c r="F50" i="14"/>
  <c r="F49" i="14"/>
  <c r="F48" i="14"/>
  <c r="AD71" i="4" s="1"/>
  <c r="AD68" i="4"/>
  <c r="H39" i="8"/>
  <c r="O24" i="14"/>
  <c r="O23" i="14"/>
  <c r="O22" i="14"/>
  <c r="O21" i="14"/>
  <c r="O17" i="14"/>
  <c r="O16" i="14"/>
  <c r="O15" i="14"/>
  <c r="O14" i="14"/>
  <c r="O10" i="14"/>
  <c r="O9" i="14"/>
  <c r="O8" i="14"/>
  <c r="O7" i="14"/>
  <c r="N24" i="14"/>
  <c r="N23" i="14"/>
  <c r="N22" i="14"/>
  <c r="N21" i="14"/>
  <c r="N20" i="14"/>
  <c r="N17" i="14"/>
  <c r="N16" i="14"/>
  <c r="N15" i="14"/>
  <c r="N14" i="14"/>
  <c r="N13" i="14"/>
  <c r="N10" i="14"/>
  <c r="N9" i="14"/>
  <c r="N8" i="14"/>
  <c r="N7" i="14"/>
  <c r="N6" i="14"/>
  <c r="M24" i="14"/>
  <c r="M23" i="14"/>
  <c r="M22" i="14"/>
  <c r="M21" i="14"/>
  <c r="M20" i="14"/>
  <c r="M17" i="14"/>
  <c r="M16" i="14"/>
  <c r="M15" i="14"/>
  <c r="M14" i="14"/>
  <c r="M13" i="14"/>
  <c r="M10" i="14"/>
  <c r="M9" i="14"/>
  <c r="M8" i="14"/>
  <c r="M7" i="14"/>
  <c r="M6" i="14"/>
  <c r="L24" i="14"/>
  <c r="L23" i="14"/>
  <c r="L22" i="14"/>
  <c r="L21" i="14"/>
  <c r="L20" i="14"/>
  <c r="L17" i="14"/>
  <c r="L16" i="14"/>
  <c r="L15" i="14"/>
  <c r="L14" i="14"/>
  <c r="L13" i="14"/>
  <c r="L10" i="14"/>
  <c r="L9" i="14"/>
  <c r="L8" i="14"/>
  <c r="L7" i="14"/>
  <c r="L6" i="14"/>
  <c r="J24" i="14"/>
  <c r="J23" i="14"/>
  <c r="J22" i="14"/>
  <c r="J21" i="14"/>
  <c r="J20" i="14"/>
  <c r="K17" i="14"/>
  <c r="K16" i="14"/>
  <c r="K15" i="14"/>
  <c r="K14" i="14"/>
  <c r="K13" i="14"/>
  <c r="J17" i="14"/>
  <c r="J16" i="14"/>
  <c r="J15" i="14"/>
  <c r="J14" i="14"/>
  <c r="J13" i="14"/>
  <c r="K10" i="14"/>
  <c r="K9" i="14"/>
  <c r="K8" i="14"/>
  <c r="K7" i="14"/>
  <c r="K6" i="14"/>
  <c r="J10" i="14"/>
  <c r="J9" i="14"/>
  <c r="J8" i="14"/>
  <c r="J7" i="14"/>
  <c r="J6" i="14"/>
  <c r="I24" i="14"/>
  <c r="I23" i="14"/>
  <c r="I22" i="14"/>
  <c r="I21" i="14"/>
  <c r="H24" i="14"/>
  <c r="H23" i="14"/>
  <c r="H22" i="14"/>
  <c r="H21" i="14"/>
  <c r="H20" i="14"/>
  <c r="I17" i="14"/>
  <c r="I16" i="14"/>
  <c r="I15" i="14"/>
  <c r="I14" i="14"/>
  <c r="H17" i="14"/>
  <c r="H16" i="14"/>
  <c r="H15" i="14"/>
  <c r="H14" i="14"/>
  <c r="H13" i="14"/>
  <c r="I10" i="14"/>
  <c r="I9" i="14"/>
  <c r="I8" i="14"/>
  <c r="I7" i="14"/>
  <c r="H10" i="14"/>
  <c r="H9" i="14"/>
  <c r="H8" i="14"/>
  <c r="H7" i="14"/>
  <c r="H6" i="14"/>
  <c r="F24" i="14"/>
  <c r="F23" i="14"/>
  <c r="F22" i="14"/>
  <c r="F21" i="14"/>
  <c r="F20" i="14"/>
  <c r="F17" i="14"/>
  <c r="F16" i="14"/>
  <c r="F15" i="14"/>
  <c r="F14" i="14"/>
  <c r="F13" i="14"/>
  <c r="F10" i="14"/>
  <c r="F8" i="14"/>
  <c r="F7" i="14"/>
  <c r="F6" i="14"/>
  <c r="E38" i="4"/>
  <c r="E41" i="4"/>
  <c r="E44" i="4"/>
  <c r="AE68" i="4"/>
  <c r="H52" i="14"/>
  <c r="H51" i="14"/>
  <c r="H50" i="14"/>
  <c r="H49" i="14"/>
  <c r="H48" i="14"/>
  <c r="O45" i="14"/>
  <c r="O44" i="14"/>
  <c r="O43" i="14"/>
  <c r="O41" i="14"/>
  <c r="N45" i="14"/>
  <c r="N44" i="14"/>
  <c r="N43" i="14"/>
  <c r="N42" i="14"/>
  <c r="X56" i="4" s="1"/>
  <c r="N41" i="14"/>
  <c r="M45" i="14"/>
  <c r="M44" i="14"/>
  <c r="M43" i="14"/>
  <c r="M41" i="14"/>
  <c r="L45" i="14"/>
  <c r="L44" i="14"/>
  <c r="H44" i="14"/>
  <c r="J44" i="14"/>
  <c r="L43" i="14"/>
  <c r="L42" i="14"/>
  <c r="L41" i="14"/>
  <c r="K45" i="14"/>
  <c r="K44" i="14"/>
  <c r="K43" i="14"/>
  <c r="K42" i="14"/>
  <c r="K41" i="14"/>
  <c r="J45" i="14"/>
  <c r="J43" i="14"/>
  <c r="J42" i="14"/>
  <c r="M56" i="4" s="1"/>
  <c r="J41" i="14"/>
  <c r="I45" i="14"/>
  <c r="I44" i="14"/>
  <c r="I43" i="14"/>
  <c r="I42" i="14"/>
  <c r="I41" i="14"/>
  <c r="H45" i="14"/>
  <c r="H43" i="14"/>
  <c r="H42" i="14"/>
  <c r="G56" i="4" s="1"/>
  <c r="H41" i="14"/>
  <c r="G45" i="14"/>
  <c r="G44" i="14"/>
  <c r="G43" i="14"/>
  <c r="G42" i="14"/>
  <c r="G41" i="14"/>
  <c r="F45" i="14"/>
  <c r="F44" i="14"/>
  <c r="F43" i="14"/>
  <c r="F42" i="14"/>
  <c r="F41" i="14"/>
  <c r="N38" i="14"/>
  <c r="N37" i="14"/>
  <c r="N36" i="14"/>
  <c r="N35" i="14"/>
  <c r="X53" i="4" s="1"/>
  <c r="N34" i="14"/>
  <c r="M38" i="14"/>
  <c r="M37" i="14"/>
  <c r="M36" i="14"/>
  <c r="M34" i="14"/>
  <c r="L38" i="14"/>
  <c r="L37" i="14"/>
  <c r="L36" i="14"/>
  <c r="L35" i="14"/>
  <c r="L34" i="14"/>
  <c r="K38" i="14"/>
  <c r="K37" i="14"/>
  <c r="K36" i="14"/>
  <c r="K35" i="14"/>
  <c r="K34" i="14"/>
  <c r="J38" i="14"/>
  <c r="J37" i="14"/>
  <c r="AE71" i="4"/>
  <c r="J36" i="14"/>
  <c r="J35" i="14"/>
  <c r="M53" i="4" s="1"/>
  <c r="J34" i="14"/>
  <c r="I38" i="14"/>
  <c r="I37" i="14"/>
  <c r="I36" i="14"/>
  <c r="I35" i="14"/>
  <c r="I34" i="14"/>
  <c r="H38" i="14"/>
  <c r="H37" i="14"/>
  <c r="H36" i="14"/>
  <c r="H35" i="14"/>
  <c r="H34" i="14"/>
  <c r="G38" i="14"/>
  <c r="G37" i="14"/>
  <c r="G36" i="14"/>
  <c r="G35" i="14"/>
  <c r="G34" i="14"/>
  <c r="F38" i="14"/>
  <c r="F37" i="14"/>
  <c r="F36" i="14"/>
  <c r="F35" i="14"/>
  <c r="F34" i="14"/>
  <c r="O31" i="14"/>
  <c r="O30" i="14"/>
  <c r="O29" i="14"/>
  <c r="O27" i="14"/>
  <c r="N31" i="14"/>
  <c r="N30" i="14"/>
  <c r="N29" i="14"/>
  <c r="N28" i="14"/>
  <c r="N27" i="14"/>
  <c r="M31" i="14"/>
  <c r="M30" i="14"/>
  <c r="M29" i="14"/>
  <c r="M27" i="14"/>
  <c r="L31" i="14"/>
  <c r="L30" i="14"/>
  <c r="L29" i="14"/>
  <c r="L28" i="14"/>
  <c r="L27" i="14"/>
  <c r="K31" i="14"/>
  <c r="K30" i="14"/>
  <c r="K29" i="14"/>
  <c r="K28" i="14"/>
  <c r="K27" i="14"/>
  <c r="J31" i="14"/>
  <c r="J30" i="14"/>
  <c r="J29" i="14"/>
  <c r="J28" i="14"/>
  <c r="M50" i="4" s="1"/>
  <c r="J27" i="14"/>
  <c r="I31" i="14"/>
  <c r="I30" i="14"/>
  <c r="I29" i="14"/>
  <c r="I28" i="14"/>
  <c r="I27" i="14"/>
  <c r="H31" i="14"/>
  <c r="H30" i="14"/>
  <c r="H29" i="14"/>
  <c r="H28" i="14"/>
  <c r="H27" i="14"/>
  <c r="G31" i="14"/>
  <c r="G30" i="14"/>
  <c r="G29" i="14"/>
  <c r="G28" i="14"/>
  <c r="G27" i="14"/>
  <c r="AD50" i="4" s="1"/>
  <c r="F31" i="14"/>
  <c r="F30" i="14"/>
  <c r="F29" i="14"/>
  <c r="F28" i="14"/>
  <c r="F27" i="14"/>
  <c r="Z49" i="4"/>
  <c r="Z38" i="4"/>
  <c r="R56" i="4"/>
  <c r="R53" i="4"/>
  <c r="T49" i="4"/>
  <c r="T38" i="4"/>
  <c r="O49" i="4"/>
  <c r="O38" i="4"/>
  <c r="I49" i="4"/>
  <c r="I38" i="4"/>
  <c r="AD56" i="4"/>
  <c r="O60" i="14"/>
  <c r="M59" i="14"/>
  <c r="K61" i="14"/>
  <c r="X50" i="4"/>
  <c r="G53" i="4"/>
  <c r="G50" i="4"/>
  <c r="R50" i="4"/>
  <c r="I61" i="14"/>
  <c r="E50" i="10"/>
  <c r="D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G4" i="10" s="1"/>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E81" i="8"/>
  <c r="E77" i="8"/>
  <c r="E63" i="8"/>
  <c r="E59" i="8"/>
  <c r="G39" i="8"/>
  <c r="G37" i="8"/>
  <c r="G34" i="8"/>
  <c r="H18" i="8"/>
  <c r="G66" i="14"/>
  <c r="Y84" i="4"/>
  <c r="X84" i="4"/>
  <c r="S84" i="4"/>
  <c r="R84" i="4"/>
  <c r="N84" i="4"/>
  <c r="M84" i="4"/>
  <c r="H84" i="4"/>
  <c r="G84" i="4"/>
  <c r="D84" i="4"/>
  <c r="B25" i="4"/>
  <c r="H75" i="4"/>
  <c r="B13" i="4"/>
  <c r="G8" i="4"/>
  <c r="B8" i="4"/>
  <c r="Y7" i="4"/>
  <c r="S7" i="4"/>
  <c r="X8" i="4" l="1"/>
  <c r="R8" i="4"/>
  <c r="M8" i="4"/>
  <c r="U31" i="4"/>
  <c r="U32" i="4" s="1"/>
  <c r="U33" i="4" s="1"/>
  <c r="R27" i="4"/>
  <c r="R25" i="4"/>
  <c r="R23" i="4"/>
  <c r="R24" i="4"/>
  <c r="R22" i="4"/>
  <c r="R21" i="4"/>
  <c r="X27" i="4"/>
  <c r="X25" i="4"/>
  <c r="X24" i="4"/>
  <c r="X23" i="4"/>
  <c r="X22" i="4"/>
  <c r="X21" i="4"/>
  <c r="Z79" i="4"/>
  <c r="AA64" i="4"/>
  <c r="AA67" i="4"/>
  <c r="AA68" i="4" s="1"/>
  <c r="P64" i="4"/>
  <c r="P67" i="4"/>
  <c r="P68" i="4" s="1"/>
  <c r="U67" i="4"/>
  <c r="U68" i="4" s="1"/>
  <c r="U64" i="4"/>
  <c r="N64" i="4"/>
  <c r="N69" i="4"/>
  <c r="N68" i="4"/>
  <c r="Y64" i="4"/>
  <c r="Y69" i="4"/>
  <c r="Y68" i="4"/>
  <c r="S64" i="4"/>
  <c r="S69" i="4"/>
  <c r="S68" i="4"/>
  <c r="AA31" i="4"/>
  <c r="AA32" i="4" s="1"/>
  <c r="P84" i="4"/>
  <c r="J84" i="4"/>
  <c r="U84" i="4"/>
  <c r="AA84" i="4"/>
  <c r="K60" i="14"/>
  <c r="M61" i="14"/>
  <c r="M60" i="14"/>
  <c r="AD53" i="4"/>
  <c r="AD58" i="4" s="1"/>
  <c r="E58" i="4" s="1"/>
  <c r="E59" i="4" s="1"/>
  <c r="K59" i="14"/>
  <c r="AE32" i="4"/>
  <c r="H31" i="4" s="1"/>
  <c r="B50" i="4"/>
  <c r="B53" i="4"/>
  <c r="B56" i="4"/>
  <c r="H78" i="4"/>
  <c r="K23" i="14"/>
  <c r="AH58" i="4"/>
  <c r="AA58" i="4" s="1"/>
  <c r="AF58" i="4"/>
  <c r="P58" i="4" s="1"/>
  <c r="AH57" i="4"/>
  <c r="AA47" i="4" s="1"/>
  <c r="AE58" i="4"/>
  <c r="J58" i="4" s="1"/>
  <c r="AG58" i="4"/>
  <c r="U58" i="4" s="1"/>
  <c r="AG57" i="4"/>
  <c r="U47" i="4" s="1"/>
  <c r="P32" i="4"/>
  <c r="G9" i="14"/>
  <c r="G16" i="14"/>
  <c r="O59" i="14"/>
  <c r="O61" i="14"/>
  <c r="I79" i="4"/>
  <c r="O79" i="4"/>
  <c r="AD5" i="4"/>
  <c r="T79" i="4"/>
  <c r="R13" i="4"/>
  <c r="M13" i="4"/>
  <c r="G22" i="14"/>
  <c r="E32" i="4"/>
  <c r="E33" i="4" s="1"/>
  <c r="F64" i="8"/>
  <c r="D97" i="8"/>
  <c r="F97" i="8" s="1"/>
  <c r="D78" i="8"/>
  <c r="F78" i="8" s="1"/>
  <c r="D93" i="8"/>
  <c r="F93" i="8" s="1"/>
  <c r="G59" i="14"/>
  <c r="G60" i="14"/>
  <c r="G61" i="14"/>
  <c r="F59" i="8"/>
  <c r="I59" i="14"/>
  <c r="D82" i="8"/>
  <c r="F82" i="8" s="1"/>
  <c r="B62" i="8"/>
  <c r="B63" i="8" s="1"/>
  <c r="F63" i="8"/>
  <c r="D81" i="8"/>
  <c r="F81" i="8" s="1"/>
  <c r="D77" i="8"/>
  <c r="F77" i="8" s="1"/>
  <c r="F60" i="8"/>
  <c r="I60" i="14"/>
  <c r="P69" i="4" l="1"/>
  <c r="N78" i="4" s="1"/>
  <c r="U59" i="4"/>
  <c r="S77" i="4" s="1"/>
  <c r="AA59" i="4"/>
  <c r="Y77" i="4" s="1"/>
  <c r="AA69" i="4"/>
  <c r="Y78" i="4" s="1"/>
  <c r="U69" i="4"/>
  <c r="S78" i="4" s="1"/>
  <c r="AG68" i="4"/>
  <c r="L52" i="14"/>
  <c r="AG70" i="4"/>
  <c r="L51" i="14"/>
  <c r="L50" i="14"/>
  <c r="AG71" i="4"/>
  <c r="L49" i="14"/>
  <c r="L48" i="14"/>
  <c r="J49" i="14"/>
  <c r="J48" i="14"/>
  <c r="J52" i="14"/>
  <c r="J50" i="14"/>
  <c r="AF68" i="4"/>
  <c r="AF70" i="4"/>
  <c r="J51" i="14"/>
  <c r="AF71" i="4"/>
  <c r="N52" i="14"/>
  <c r="AH68" i="4"/>
  <c r="N51" i="14"/>
  <c r="N50" i="14"/>
  <c r="N49" i="14"/>
  <c r="N48" i="14"/>
  <c r="AH70" i="4"/>
  <c r="AH71" i="4"/>
  <c r="K21" i="14"/>
  <c r="K24" i="14"/>
  <c r="K22" i="14"/>
  <c r="AH32" i="4"/>
  <c r="Y31" i="4" s="1"/>
  <c r="AA33" i="4"/>
  <c r="AF32" i="4"/>
  <c r="N31" i="4" s="1"/>
  <c r="P33" i="4"/>
  <c r="AD32" i="4"/>
  <c r="C31" i="4" s="1"/>
  <c r="K20" i="14"/>
  <c r="AE57" i="4"/>
  <c r="J47" i="4" s="1"/>
  <c r="AF57" i="4"/>
  <c r="P47" i="4" s="1"/>
  <c r="P59" i="4" s="1"/>
  <c r="G15" i="14"/>
  <c r="G14" i="14"/>
  <c r="G17" i="14"/>
  <c r="G13" i="14"/>
  <c r="G8" i="14"/>
  <c r="G7" i="14"/>
  <c r="G6" i="14"/>
  <c r="G10" i="14"/>
  <c r="AG32" i="4"/>
  <c r="S31" i="4" s="1"/>
  <c r="G21" i="14"/>
  <c r="G20" i="14"/>
  <c r="G23" i="14"/>
  <c r="G24" i="14"/>
  <c r="J59" i="4" l="1"/>
  <c r="H77" i="4" s="1"/>
  <c r="N77" i="4"/>
  <c r="N76" i="4"/>
  <c r="C76" i="4"/>
  <c r="N79" i="4" l="1"/>
  <c r="Y76" i="4"/>
  <c r="Y79" i="4" s="1"/>
  <c r="H76" i="4"/>
  <c r="H79" i="4" s="1"/>
  <c r="S76" i="4"/>
  <c r="S79" i="4" s="1"/>
  <c r="C77" i="4" l="1"/>
  <c r="C78" i="4"/>
  <c r="G93" i="8"/>
  <c r="H93" i="8" s="1"/>
  <c r="C79" i="4" l="1"/>
  <c r="F18" i="8" s="1"/>
  <c r="O60" i="8"/>
  <c r="N60" i="8" s="1"/>
  <c r="G97" i="8" s="1"/>
  <c r="H97" i="8" s="1"/>
  <c r="J2" i="8"/>
  <c r="H2" i="8"/>
  <c r="F2" i="8"/>
  <c r="D2" i="8"/>
  <c r="P60" i="8"/>
  <c r="G73" i="4"/>
  <c r="C23" i="8" l="1"/>
  <c r="H10" i="8"/>
  <c r="C10" i="8"/>
  <c r="G43" i="8"/>
  <c r="B53" i="8"/>
  <c r="D53" i="8" s="1"/>
  <c r="G92" i="8"/>
  <c r="H92" i="8" s="1"/>
  <c r="G96" i="8"/>
  <c r="H96" i="8" s="1"/>
  <c r="X73" i="4"/>
  <c r="M73" i="4"/>
  <c r="J79" i="4"/>
  <c r="D27" i="8" s="1"/>
  <c r="R73" i="4"/>
  <c r="B2" i="8"/>
  <c r="E79" i="4"/>
  <c r="C84" i="4"/>
  <c r="E84" i="4" s="1"/>
  <c r="J53" i="8"/>
  <c r="G18" i="8" l="1"/>
  <c r="I18" i="8" s="1"/>
  <c r="B27" i="8" s="1"/>
  <c r="H53" i="8"/>
  <c r="F53" i="8"/>
  <c r="P79" i="4"/>
  <c r="F27" i="8" s="1"/>
  <c r="F28" i="8" s="1"/>
  <c r="U79" i="4"/>
  <c r="H27" i="8" s="1"/>
  <c r="H28" i="8" s="1"/>
  <c r="AA79" i="4"/>
  <c r="J27" i="8" s="1"/>
  <c r="G78" i="8" s="1"/>
  <c r="H78" i="8" s="1"/>
  <c r="B50" i="8" l="1"/>
  <c r="D50" i="8"/>
  <c r="N63" i="8"/>
  <c r="G81" i="8"/>
  <c r="H81" i="8" s="1"/>
  <c r="J28" i="8"/>
  <c r="G82" i="8"/>
  <c r="H82" i="8" s="1"/>
  <c r="D84" i="8" s="1"/>
  <c r="G77" i="8"/>
  <c r="H77" i="8" s="1"/>
  <c r="C43" i="8"/>
  <c r="G59" i="8" l="1"/>
  <c r="D99" i="8" s="1"/>
  <c r="G60" i="8"/>
  <c r="H60" i="8" s="1"/>
  <c r="D47" i="8"/>
  <c r="B47" i="8"/>
  <c r="B64" i="8"/>
  <c r="C47" i="8" s="1"/>
  <c r="H50" i="8"/>
  <c r="D83" i="8"/>
  <c r="D85" i="8" s="1"/>
  <c r="H85" i="8" s="1"/>
  <c r="F50" i="8"/>
  <c r="J50" i="8" s="1"/>
  <c r="G63" i="8"/>
  <c r="H63" i="8" s="1"/>
  <c r="G64" i="8"/>
  <c r="H64" i="8" s="1"/>
  <c r="H47" i="8" s="1"/>
  <c r="D66" i="8" l="1"/>
  <c r="D98" i="8"/>
  <c r="D100" i="8" s="1"/>
  <c r="H100" i="8" s="1"/>
  <c r="H59" i="8"/>
  <c r="F47" i="8" s="1"/>
  <c r="J47" i="8" s="1"/>
  <c r="I43" i="8" s="1"/>
  <c r="D65" i="8" l="1"/>
  <c r="D67" i="8" s="1"/>
  <c r="H67" i="8" s="1"/>
  <c r="D43" i="8" l="1"/>
  <c r="H69" i="8"/>
</calcChain>
</file>

<file path=xl/sharedStrings.xml><?xml version="1.0" encoding="utf-8"?>
<sst xmlns="http://schemas.openxmlformats.org/spreadsheetml/2006/main" count="1138" uniqueCount="578">
  <si>
    <t>pH</t>
  </si>
  <si>
    <t>DO</t>
  </si>
  <si>
    <t>6. Channel Alteration</t>
  </si>
  <si>
    <t>8. Bank Stability (LB &amp; RB)</t>
  </si>
  <si>
    <t>9. Vegetative Protection (LB &amp; RB)</t>
  </si>
  <si>
    <t>0-20</t>
  </si>
  <si>
    <t>Temporal Loss-Maturity</t>
  </si>
  <si>
    <t>Years</t>
  </si>
  <si>
    <t>21-40</t>
  </si>
  <si>
    <t>41-60</t>
  </si>
  <si>
    <t>61-80</t>
  </si>
  <si>
    <t>Site Score</t>
  </si>
  <si>
    <t>Sub-Total</t>
  </si>
  <si>
    <r>
      <t>&lt;</t>
    </r>
    <r>
      <rPr>
        <sz val="8"/>
        <rFont val="Arial"/>
        <family val="2"/>
      </rPr>
      <t xml:space="preserve"> 20</t>
    </r>
  </si>
  <si>
    <t xml:space="preserve">% Add. Mitigation </t>
  </si>
  <si>
    <t xml:space="preserve">Long-term Protection </t>
  </si>
  <si>
    <t>Select</t>
  </si>
  <si>
    <t>Long-Term Protection (Years)</t>
  </si>
  <si>
    <t>Temporal Loss-Maturity (Years)</t>
  </si>
  <si>
    <t>Unit Score</t>
  </si>
  <si>
    <t>0-1</t>
  </si>
  <si>
    <t>Points Scale</t>
  </si>
  <si>
    <t>Total RBP Score</t>
  </si>
  <si>
    <t>% Add. Mitigation and Monitoring Period</t>
  </si>
  <si>
    <t>In-Lieu Fee</t>
  </si>
  <si>
    <t>FORM OF MITIGATION:</t>
  </si>
  <si>
    <t>Mitigation Bank</t>
  </si>
  <si>
    <t xml:space="preserve"> </t>
  </si>
  <si>
    <t>Range</t>
  </si>
  <si>
    <t>Pre-Impact</t>
  </si>
  <si>
    <t>Proj.-Maturity</t>
  </si>
  <si>
    <t>Proj.-Upon Completion</t>
  </si>
  <si>
    <t>Reference Site</t>
  </si>
  <si>
    <t xml:space="preserve">DATE: </t>
  </si>
  <si>
    <t>Emergent</t>
  </si>
  <si>
    <t>Forested</t>
  </si>
  <si>
    <t>Impact (Existing Condition)</t>
  </si>
  <si>
    <t>Mitigation-Upon Completion</t>
  </si>
  <si>
    <t>Mitigation-Maturity</t>
  </si>
  <si>
    <t>PRECIPITATION PAST 48 HRS:</t>
  </si>
  <si>
    <t>Permittee Responsible-Onsite</t>
  </si>
  <si>
    <t xml:space="preserve">Permittee Responsible-Offsite </t>
  </si>
  <si>
    <t xml:space="preserve">Temporal Loss-Construction  </t>
  </si>
  <si>
    <t>Lat.</t>
  </si>
  <si>
    <t>Lon.</t>
  </si>
  <si>
    <t>USACE FILE NO./Project Name:</t>
  </si>
  <si>
    <t xml:space="preserve">PART II - Index and Unit Score </t>
  </si>
  <si>
    <t xml:space="preserve">*Note: Reflects duration of aquatic functional loss between the time of an impact (debit) and completion of compensatory mitigation (credit).  </t>
  </si>
  <si>
    <t xml:space="preserve">*Note: Period between completion of compensatory mitigation measures and the time required for maturity, as it relates to function (i.e. maturity of tree stratum to provide organic matter and detritus within riparian stream or wetland buffer corridor). </t>
  </si>
  <si>
    <t>Form of Mitigation</t>
  </si>
  <si>
    <t>Linear Feet</t>
  </si>
  <si>
    <t xml:space="preserve">Balance
</t>
  </si>
  <si>
    <t>Column No. 1- Impact Existing Condition (Debit)</t>
  </si>
  <si>
    <t>DATE:</t>
  </si>
  <si>
    <t>Impact Existing Condition 
(Debit)</t>
  </si>
  <si>
    <t>Mitigation Existing 
Condition
(Credit)</t>
  </si>
  <si>
    <t>Mitigation Projected At Maturity (Credit)</t>
  </si>
  <si>
    <t>Mitigation Projected At Maturity 
(Credit)</t>
  </si>
  <si>
    <t>Ephemeral</t>
  </si>
  <si>
    <t>Intermittent</t>
  </si>
  <si>
    <t>Perennial</t>
  </si>
  <si>
    <t>0-90</t>
  </si>
  <si>
    <t>0-80</t>
  </si>
  <si>
    <t>Site</t>
  </si>
  <si>
    <t>Impact 
Unit Yield (Debit)</t>
  </si>
  <si>
    <t>Mitigation 
Unit Yield
(Credit)</t>
  </si>
  <si>
    <t>Sub-Totals</t>
  </si>
  <si>
    <t>Running Balance
(Debit or Credit)</t>
  </si>
  <si>
    <t>TOTAL NET</t>
  </si>
  <si>
    <t>Multiple Stream Site Unit Comparison</t>
  </si>
  <si>
    <t>Unit Score 
(Debit)</t>
  </si>
  <si>
    <t>Final Index Score 
(Debit)</t>
  </si>
  <si>
    <t>Final Unit Score (Debit)
[No Net Loss Value]</t>
  </si>
  <si>
    <t>Preservation</t>
  </si>
  <si>
    <t>Restoration</t>
  </si>
  <si>
    <t>Enhancement</t>
  </si>
  <si>
    <t>Mitigation Projected at Five Years 
Post Completion (Credit)</t>
  </si>
  <si>
    <t>Mitigation Existing 
Condition - Baseline
(Credit)</t>
  </si>
  <si>
    <t>Column No. 2- Mitigation Existing Condition - Baseline (Credit)</t>
  </si>
  <si>
    <t>Mitigation Projected at Ten Years 
Post Completion (Credit)</t>
  </si>
  <si>
    <t xml:space="preserve">PART IV - Index to Unit Score Conversion 
</t>
  </si>
  <si>
    <t>Final Mitigation Unit Yield</t>
  </si>
  <si>
    <t>Preservation and Re-vegetation</t>
  </si>
  <si>
    <t>Preservation and Supplemental Planting</t>
  </si>
  <si>
    <t>None</t>
  </si>
  <si>
    <t>sqft</t>
  </si>
  <si>
    <t>Mitigation Unit Yield (Credit)</t>
  </si>
  <si>
    <t>75 feet = 25'given and additional 50'</t>
  </si>
  <si>
    <t>15% max 101-300'</t>
  </si>
  <si>
    <t>depicts 1-side (combined average)</t>
  </si>
  <si>
    <t>30% max 26-100'</t>
  </si>
  <si>
    <t>no more than 45% of base unit yield (J28) combined</t>
  </si>
  <si>
    <t>Classification * Multipliers</t>
  </si>
  <si>
    <t>Classification * %</t>
  </si>
  <si>
    <t>WEATHER:</t>
  </si>
  <si>
    <t>Average</t>
  </si>
  <si>
    <t>100 foot buffer cap:</t>
  </si>
  <si>
    <t>300 foot buffer cap:</t>
  </si>
  <si>
    <t>% in decimal</t>
  </si>
  <si>
    <t>Left Bank</t>
  </si>
  <si>
    <t>Right Bank</t>
  </si>
  <si>
    <t>51-150</t>
  </si>
  <si>
    <t>RESTORATION LEVELS</t>
  </si>
  <si>
    <t xml:space="preserve">Level 1 </t>
  </si>
  <si>
    <t>Level 2</t>
  </si>
  <si>
    <t>Level 3</t>
  </si>
  <si>
    <t>Restoration Level % Proposed:</t>
  </si>
  <si>
    <t>Percent set to 100% scale:</t>
  </si>
  <si>
    <t>Amount Proposed (add. Amt)</t>
  </si>
  <si>
    <t>Add credit for first 25'</t>
  </si>
  <si>
    <t>Percentage</t>
  </si>
  <si>
    <t>Buffer Width</t>
  </si>
  <si>
    <t>Average Buffer Width/Side</t>
  </si>
  <si>
    <t xml:space="preserve">Max Possible </t>
  </si>
  <si>
    <t>Stream Valuation Metric:</t>
  </si>
  <si>
    <t>Part I – Physical, Chemical and Biological Indicators</t>
  </si>
  <si>
    <t>*Reference Part I above.</t>
  </si>
  <si>
    <t>Part III- Impact Factors</t>
  </si>
  <si>
    <t>DEFAULT VALUES: The default value for Mitigation Banking and/or ILF is “Perpetual” since these projects are required by the IRT to obtain perpetual protection.</t>
  </si>
  <si>
    <t>Based upon Avg Est lift 0.5</t>
  </si>
  <si>
    <t xml:space="preserve">PART V- Comparison of Unit Scores and Projected Balance 
</t>
  </si>
  <si>
    <t xml:space="preserve">Part VI - Mitigation Considerations (Incentives)
</t>
  </si>
  <si>
    <t>Extent of Stream Restoration</t>
  </si>
  <si>
    <t>Stream Parts III-VI</t>
  </si>
  <si>
    <t>RESTORATION (Levels I-III)</t>
  </si>
  <si>
    <t>ENHANCEMENT</t>
  </si>
  <si>
    <t>PRESERVATION</t>
  </si>
  <si>
    <t>Preservation Range</t>
  </si>
  <si>
    <t>Multiplier:</t>
  </si>
  <si>
    <t>Total Preservation Incentive=</t>
  </si>
  <si>
    <t>Total Buffer Incentive=</t>
  </si>
  <si>
    <t>Total Restoration Incentive=</t>
  </si>
  <si>
    <t>Inner Buffer (0-50'/Bank)</t>
  </si>
  <si>
    <t>Outer Buffer (51-150'/Bank)</t>
  </si>
  <si>
    <t>Overall Preservation Percentage Added=</t>
  </si>
  <si>
    <t>RESTORATION/ENHANCEMENT BUFFER</t>
  </si>
  <si>
    <t>PRESERVATION BUFFER</t>
  </si>
  <si>
    <r>
      <t xml:space="preserve">IMPACT STREAM/SITE ID AND SITE DESCRIPTION:
</t>
    </r>
    <r>
      <rPr>
        <b/>
        <sz val="8"/>
        <rFont val="Arial"/>
        <family val="2"/>
      </rPr>
      <t xml:space="preserve">(watershed size {acreage}, unaltered or impairments) </t>
    </r>
  </si>
  <si>
    <t>Stream Classification:</t>
  </si>
  <si>
    <t>Column No. 3- Mitigation Projected at Five Years
Post Completion (Credit)</t>
  </si>
  <si>
    <t>Column No. 4- Mitigation Projected at Ten Years
Post Completion (Credit)</t>
  </si>
  <si>
    <t>Column No. 5- Mitigation Projected at Maturity (Credit)</t>
  </si>
  <si>
    <t>ESTABLISHMENT</t>
  </si>
  <si>
    <t>No</t>
  </si>
  <si>
    <t>Low-Gradient Perennial Streams</t>
  </si>
  <si>
    <t>High-Gradient Ephemeral and Intermittent Headwater Streams</t>
  </si>
  <si>
    <t>C1 - Impact</t>
  </si>
  <si>
    <t>C5 - Mit Mature</t>
  </si>
  <si>
    <t>C3- Mit 5yr</t>
  </si>
  <si>
    <t>C2 - Mit 0yr</t>
  </si>
  <si>
    <t>C4 - Mit 10yr</t>
  </si>
  <si>
    <t>Hydrology (0-1)</t>
  </si>
  <si>
    <t>Biogeochemical Cycling (0-1)</t>
  </si>
  <si>
    <t>Habitat (0-1)</t>
  </si>
  <si>
    <t>Fe</t>
  </si>
  <si>
    <t>Al</t>
  </si>
  <si>
    <t>Mn</t>
  </si>
  <si>
    <t>Spec Cond</t>
  </si>
  <si>
    <t>Coldwater Habitat (3:1)</t>
  </si>
  <si>
    <t>Exceptional Warmwater Habitat (3:1)</t>
  </si>
  <si>
    <t>Seasonal Salmonid Habitat (3:1)</t>
  </si>
  <si>
    <t>Warmwater Habitat (2:1)</t>
  </si>
  <si>
    <t>Limited Warmwater Habitat (1.5:1)</t>
  </si>
  <si>
    <t>Modified Warmwater Habitat (1.5:1)</t>
  </si>
  <si>
    <t>Limited Resource Waters (1:1)</t>
  </si>
  <si>
    <t xml:space="preserve">Select An Aquatic Life Use </t>
  </si>
  <si>
    <t>ICI</t>
  </si>
  <si>
    <t>Huron/Erie Lake Plains HELP (1)</t>
  </si>
  <si>
    <t>Erie/Ontario Lake Plains EOLP (3)</t>
  </si>
  <si>
    <t>Western Allegheny Plateau WAP (4)</t>
  </si>
  <si>
    <t>Eastern Corn Belt Plains ECBP (5)</t>
  </si>
  <si>
    <t>HGM Score</t>
  </si>
  <si>
    <t>Physical Indicator Score</t>
  </si>
  <si>
    <t>Chemical Indicator Score</t>
  </si>
  <si>
    <t>Biological Indicator Score</t>
  </si>
  <si>
    <t>Aquatic Life Use Score (multiplier)</t>
  </si>
  <si>
    <t>Weighted Index and Unit Score</t>
  </si>
  <si>
    <t>HELP</t>
  </si>
  <si>
    <t>IP</t>
  </si>
  <si>
    <t>EOLP</t>
  </si>
  <si>
    <t>WAP</t>
  </si>
  <si>
    <t>ECBP</t>
  </si>
  <si>
    <t>10. Riparian Vegetative Zone Width (LB &amp; RB)</t>
  </si>
  <si>
    <t>STREAM IMPACT LENGTH (ft):</t>
  </si>
  <si>
    <t>HGM Subclass</t>
  </si>
  <si>
    <t>HGM Score (attach data forms):</t>
  </si>
  <si>
    <t>Interior Plateau IP (2)</t>
  </si>
  <si>
    <t>Undesignated (1:1)</t>
  </si>
  <si>
    <t>AquaticLifeUse</t>
  </si>
  <si>
    <t>HGMSubClasses</t>
  </si>
  <si>
    <t>RBPDataSheet</t>
  </si>
  <si>
    <t>RBPQHEIDropdown</t>
  </si>
  <si>
    <t>QHEI Score Results</t>
  </si>
  <si>
    <t>Drainage Area</t>
  </si>
  <si>
    <t>Narrative</t>
  </si>
  <si>
    <t>&lt;3 mi2</t>
  </si>
  <si>
    <t>&gt;=3, &lt;20 mi2</t>
  </si>
  <si>
    <t>&gt;=20</t>
  </si>
  <si>
    <t>Ecoregions</t>
  </si>
  <si>
    <t>ICI at Impact</t>
  </si>
  <si>
    <t>Select an Ecoregion</t>
  </si>
  <si>
    <t xml:space="preserve">pH </t>
  </si>
  <si>
    <t>pH Narr</t>
  </si>
  <si>
    <t>Impact Column</t>
  </si>
  <si>
    <t>DO Narr</t>
  </si>
  <si>
    <t xml:space="preserve">DO </t>
  </si>
  <si>
    <t>0-30</t>
  </si>
  <si>
    <t>Fe Narr</t>
  </si>
  <si>
    <t>Mn Narr</t>
  </si>
  <si>
    <t>Al Narr</t>
  </si>
  <si>
    <t>Exceptional+</t>
  </si>
  <si>
    <t>Exceptional</t>
  </si>
  <si>
    <t>Very Good</t>
  </si>
  <si>
    <t>Good</t>
  </si>
  <si>
    <t>Marginally Good</t>
  </si>
  <si>
    <t>Fair</t>
  </si>
  <si>
    <t>Low Fair</t>
  </si>
  <si>
    <t>Poor</t>
  </si>
  <si>
    <t>Very Poor</t>
  </si>
  <si>
    <t>Select a score based on data sheet:</t>
  </si>
  <si>
    <t>MacroinvertNarrAssess</t>
  </si>
  <si>
    <t xml:space="preserve">          USEPA RBP (High Gradient Data Sheet)</t>
  </si>
  <si>
    <t xml:space="preserve">          USEPA RBP (Low Gradient Data Sheet)</t>
  </si>
  <si>
    <t>PoolDepth</t>
  </si>
  <si>
    <t>Ecoregion:</t>
  </si>
  <si>
    <t>Select a Stream Class</t>
  </si>
  <si>
    <t>StreamClass1</t>
  </si>
  <si>
    <t>Select a Pool Depth Class</t>
  </si>
  <si>
    <t>PART I - HGM, Physical, Chemical and Biological Indicators</t>
  </si>
  <si>
    <r>
      <t xml:space="preserve">Predominant natural pools generally </t>
    </r>
    <r>
      <rPr>
        <sz val="10"/>
        <rFont val="Calibri"/>
        <family val="2"/>
      </rPr>
      <t>≤</t>
    </r>
    <r>
      <rPr>
        <sz val="10"/>
        <rFont val="Arial"/>
        <family val="2"/>
      </rPr>
      <t>40 cm</t>
    </r>
  </si>
  <si>
    <t>Predominant natural pools generally &gt;40 cm</t>
  </si>
  <si>
    <t>PHYSICAL INDICATOR SUBTOTAL</t>
  </si>
  <si>
    <t>Specific Conductivity (µS/cm)</t>
  </si>
  <si>
    <t>Dissolved Oxygen (DO) (mg/L)</t>
  </si>
  <si>
    <t>Total Iron (Fe) (µg/L)</t>
  </si>
  <si>
    <t>Total Aluminum (Al) (µg/L)</t>
  </si>
  <si>
    <t>Total Manganese (Mn) (µg/L)</t>
  </si>
  <si>
    <t>HMFEI Score Results</t>
  </si>
  <si>
    <t>Ephemeral Biota</t>
  </si>
  <si>
    <t>Score</t>
  </si>
  <si>
    <t>60-20</t>
  </si>
  <si>
    <t>20-7</t>
  </si>
  <si>
    <t>0-7</t>
  </si>
  <si>
    <t>Small Drainage Warmwater Biota</t>
  </si>
  <si>
    <t>Springwater Biota</t>
  </si>
  <si>
    <t>=AO10</t>
  </si>
  <si>
    <t>Total Index</t>
  </si>
  <si>
    <r>
      <t xml:space="preserve">IMPACT COORDINATES:
</t>
    </r>
    <r>
      <rPr>
        <b/>
        <sz val="10"/>
        <color theme="1"/>
        <rFont val="Arial"/>
        <family val="2"/>
      </rPr>
      <t>(in Decimal Degrees)</t>
    </r>
  </si>
  <si>
    <r>
      <t xml:space="preserve">MITIGATION STREAM CLASS./SITE ID AND SITE DESCRIPTION:
</t>
    </r>
    <r>
      <rPr>
        <b/>
        <sz val="8"/>
        <color theme="1"/>
        <rFont val="Arial"/>
        <family val="2"/>
      </rPr>
      <t xml:space="preserve">(watershed size {acreage}, unaltered or impairments) </t>
    </r>
  </si>
  <si>
    <r>
      <t xml:space="preserve">MIT COORDINATES:
</t>
    </r>
    <r>
      <rPr>
        <b/>
        <sz val="10"/>
        <color theme="1"/>
        <rFont val="Arial"/>
        <family val="2"/>
      </rPr>
      <t>(in Decimal Degrees)</t>
    </r>
  </si>
  <si>
    <t>Use RBP?</t>
  </si>
  <si>
    <t>These are all based on multiplying the subtotal by 200…is that appropriate?</t>
  </si>
  <si>
    <t>Outside 124&amp;126?</t>
  </si>
  <si>
    <t>Calc for Narrative</t>
  </si>
  <si>
    <t>STREAM MITIGATION LENGTH (ft):</t>
  </si>
  <si>
    <t>Mitigation Baseline</t>
  </si>
  <si>
    <t>Mitigation 5</t>
  </si>
  <si>
    <t>Mitigation 10</t>
  </si>
  <si>
    <t>Mitigation Mature</t>
  </si>
  <si>
    <t>Impact</t>
  </si>
  <si>
    <t>SpCon Narr</t>
  </si>
  <si>
    <t>SpCon</t>
  </si>
  <si>
    <t>Stream Length</t>
  </si>
  <si>
    <r>
      <t xml:space="preserve">PART III - Sub-Index Correlation
</t>
    </r>
    <r>
      <rPr>
        <b/>
        <sz val="8"/>
        <color theme="1"/>
        <rFont val="Arial"/>
        <family val="2"/>
      </rPr>
      <t>(See instruction page for default values for Mitigation Banking and ILF)</t>
    </r>
  </si>
  <si>
    <t>PROJECTED NET BALANCE AT EACH TIME PERIOD</t>
  </si>
  <si>
    <t>Lists for II-VI</t>
  </si>
  <si>
    <t>YesOrNo</t>
  </si>
  <si>
    <t>Yes</t>
  </si>
  <si>
    <t>*Note2: Place an "X" in the appropriate category (only select one).</t>
  </si>
  <si>
    <t xml:space="preserve">          Check here if there is a Conservation Easement on the Mitigation Site</t>
  </si>
  <si>
    <t>COMMENTS:</t>
  </si>
  <si>
    <t>Index</t>
  </si>
  <si>
    <t>1.0-.90</t>
  </si>
  <si>
    <t>.90-.80</t>
  </si>
  <si>
    <t>Multiplier</t>
  </si>
  <si>
    <t>Preservation Ratio</t>
  </si>
  <si>
    <t>Overall buffer Percentage Added:</t>
  </si>
  <si>
    <t>TempLossConstruction</t>
  </si>
  <si>
    <t>In Lieu Fee</t>
  </si>
  <si>
    <r>
      <rPr>
        <sz val="10"/>
        <rFont val="Calibri"/>
        <family val="2"/>
      </rPr>
      <t>≤</t>
    </r>
    <r>
      <rPr>
        <sz val="10"/>
        <rFont val="Arial"/>
        <family val="2"/>
      </rPr>
      <t xml:space="preserve"> 1 Year</t>
    </r>
  </si>
  <si>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</si>
  <si>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</si>
  <si>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</si>
  <si>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</si>
  <si>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</si>
  <si>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</si>
  <si>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</si>
  <si>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</si>
  <si>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</si>
  <si>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</si>
  <si>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</si>
  <si>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</si>
  <si>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</si>
  <si>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</si>
  <si>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</si>
  <si>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</si>
  <si>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</si>
  <si>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</si>
  <si>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r>
      <rPr>
        <sz val="10"/>
        <rFont val="Calibri"/>
        <family val="2"/>
      </rPr>
      <t>≥</t>
    </r>
    <r>
      <rPr>
        <sz val="10"/>
        <rFont val="Arial"/>
        <family val="2"/>
      </rPr>
      <t>20 Years</t>
    </r>
  </si>
  <si>
    <t>% added</t>
  </si>
  <si>
    <t>Select a Mitigation form or Year Delay for Mitigation Costruction</t>
  </si>
  <si>
    <t>Index Sub-Total (Impact Index x Percent)</t>
  </si>
  <si>
    <t xml:space="preserve">% Added Mitigation </t>
  </si>
  <si>
    <t>% Added Mitigation and Monitoring Period</t>
  </si>
  <si>
    <t xml:space="preserve">Raw Impact Index </t>
  </si>
  <si>
    <t>TempLossMaturity</t>
  </si>
  <si>
    <t>0 - 20 Years</t>
  </si>
  <si>
    <t>21 - 30 Years</t>
  </si>
  <si>
    <t>31 - 40 Years</t>
  </si>
  <si>
    <t>41 - 50 Years</t>
  </si>
  <si>
    <t>51 - 100 Years</t>
  </si>
  <si>
    <t>In Perpetuity</t>
  </si>
  <si>
    <t>LongTermProtection</t>
  </si>
  <si>
    <t>20 Years</t>
  </si>
  <si>
    <t>21 Years</t>
  </si>
  <si>
    <t>22 Years</t>
  </si>
  <si>
    <t>23 Years</t>
  </si>
  <si>
    <t>24 Years</t>
  </si>
  <si>
    <t>25 Years</t>
  </si>
  <si>
    <t>26 Years</t>
  </si>
  <si>
    <t>27 Years</t>
  </si>
  <si>
    <t>28 Years</t>
  </si>
  <si>
    <t>29 Years</t>
  </si>
  <si>
    <t>30 Years</t>
  </si>
  <si>
    <t>&gt;30 Years</t>
  </si>
  <si>
    <t>if(AND(H6="Ephemeral",$AE56=TRUE,$AE57=FALSE),"Check Data"</t>
  </si>
  <si>
    <t>CHEMICAL INDICATOR SUBTOTAL</t>
  </si>
  <si>
    <t>Basic Water Quality (BWQ) Sub-Total</t>
  </si>
  <si>
    <r>
      <t xml:space="preserve">      Additional Water Quality Indicators</t>
    </r>
    <r>
      <rPr>
        <sz val="10"/>
        <rFont val="Arial"/>
        <family val="2"/>
      </rPr>
      <t xml:space="preserve"> - These will be averaged and normalized to a 0.1-1.0 subindex which will be multiplied with the Basic Water Quality subindex.</t>
    </r>
  </si>
  <si>
    <t>Additional Water Quality Indicator (AWQ) Sub-Index Multiplier</t>
  </si>
  <si>
    <t>Basic Water Quality Indicators (BWQ)</t>
  </si>
  <si>
    <r>
      <t xml:space="preserve">     Additional Water Quality Indicators (AWQ)</t>
    </r>
    <r>
      <rPr>
        <sz val="10"/>
        <rFont val="Arial"/>
        <family val="2"/>
      </rPr>
      <t xml:space="preserve"> - These will be averaged and normalized to a 0.1-1.0 subindex which will be multiplied with the Basic Water Quality subindex.</t>
    </r>
  </si>
  <si>
    <r>
      <t xml:space="preserve">      Additional Water Quality Indicators (AWQ)</t>
    </r>
    <r>
      <rPr>
        <sz val="10"/>
        <rFont val="Arial"/>
        <family val="2"/>
      </rPr>
      <t xml:space="preserve"> - These will be averaged and normalized to a 0.1-1.0 subindex which will be multiplied with the Basic Water Quality subindex.</t>
    </r>
  </si>
  <si>
    <r>
      <t xml:space="preserve">      Additional Water Quality Indicators (AWQ)</t>
    </r>
    <r>
      <rPr>
        <sz val="10"/>
        <rFont val="Arial"/>
        <family val="2"/>
      </rPr>
      <t xml:space="preserve"> - These will be averaged and normalized to a 0.1-1.0 sub-index which will be multiplied with the Basic Water Quality sub-total.</t>
    </r>
  </si>
  <si>
    <t>Part V – Comparison of Unit Scores and Projected Balance - No data entry is required.  This part depicts the “Final Unit Score (debit)” in comparison with the Mitigation Existing Condition-Baseline (credit), Mitigation Projected at Five (5) Years (credit), Mitigation Projected at 10 Years (credit), and Mitigation Projected at Maturity (credit).  Functional lift is defined as the balance between the “Mitigation Existing Condition-Baseline” and “Mitigation Projected at Maturity”.  The balance of the “Mitigation Projected at Maturity” shall be equal to or greater than the “Final Unit Score (debit)” to adequately offset the proposed impacts and be compliant with the national policy of “no net loss”.</t>
  </si>
  <si>
    <t xml:space="preserve">*Note: All forms of compensatory mitigation now focus upon offsetting the final (debit) units rather than the linear feet.  </t>
  </si>
  <si>
    <t>DEFAULT VALUES: The default value for ILF is four (4) years (or 12%) and Mitigation Bank is zero (0) years.</t>
  </si>
  <si>
    <t xml:space="preserve">All projects proposing compensatory mitigation (credit) to waters of the U.S. shall enter data in Column No. 5.  This column is utilized to establish the projected condition of the site at maturity.  The full restoration of a riparian buffer zone may require 40 or more years of sustained growth to contribute detritus and large woody debris, and to provide light and temperature regulation.  </t>
  </si>
  <si>
    <t xml:space="preserve">Part I – Physical, Chemical and Biological Indicators.
*Reference Part I above.
</t>
  </si>
  <si>
    <t xml:space="preserve">Mitigation Header Information </t>
  </si>
  <si>
    <t xml:space="preserve">Impact Header Information </t>
  </si>
  <si>
    <t>STREAM PARTS I-II</t>
  </si>
  <si>
    <t xml:space="preserve">PART II – Index and Unit Score - No data entry is required in Part II, the Index Score is multiplied by the linear feet of impact (debit) or mitigation (credit) to generate a Unit Score.  </t>
  </si>
  <si>
    <t>Base Lift</t>
  </si>
  <si>
    <t>Activity Level Lift</t>
  </si>
  <si>
    <t>Conservation Easement Lift</t>
  </si>
  <si>
    <t>Inner Buffer Lift</t>
  </si>
  <si>
    <t>Outer Buffer Lift</t>
  </si>
  <si>
    <t>Total Lift</t>
  </si>
  <si>
    <t>Restoration Level Lift</t>
  </si>
  <si>
    <t>Base Preservation</t>
  </si>
  <si>
    <t>Indexed</t>
  </si>
  <si>
    <t>Not Indexed</t>
  </si>
  <si>
    <r>
      <t>CHEMICAL INDICATOR</t>
    </r>
    <r>
      <rPr>
        <sz val="10"/>
        <rFont val="Arial"/>
        <family val="2"/>
      </rPr>
      <t xml:space="preserve"> (</t>
    </r>
    <r>
      <rPr>
        <b/>
        <sz val="10"/>
        <rFont val="Arial"/>
        <family val="2"/>
      </rPr>
      <t xml:space="preserve">Set to 0 for Ephemeral Streams. </t>
    </r>
    <r>
      <rPr>
        <sz val="10"/>
        <rFont val="Arial"/>
        <family val="2"/>
      </rPr>
      <t xml:space="preserve"> Data must be entered for Intermittent and Perennial Streams.  No default values.)</t>
    </r>
  </si>
  <si>
    <t>default not used</t>
  </si>
  <si>
    <t>AWQ used</t>
  </si>
  <si>
    <t>Cell M2 [Impact Site Lat.] – Enter latitude coordinate in NAD 83 Decimal Degrees</t>
  </si>
  <si>
    <t>Cell O2 [Impact Site Long.] – Enter longitude coordinate in NAD 83 Decimal Degrees</t>
  </si>
  <si>
    <t>Cell S2 [Weather] – Enter the weather conditions on the date the assessment was performed. Ex. Cloudy, 40 degrees.</t>
  </si>
  <si>
    <t>Cell Y2 [Date] – Enter date of the assessment being performed</t>
  </si>
  <si>
    <t>Cell G3  [Impact Stream/Site ID and Site Description] – Enter the stream name, stream segment identifier (which may correlate to a drawing), and riparian condition (e.g. mature tree stratum)</t>
  </si>
  <si>
    <t>Cell Y3 [Precipitation Past 48 Hrs] – Enter the past 48 hrs precipitation for the impact site being assessed</t>
  </si>
  <si>
    <t>Cell C4 [Stream Impact Length] – Enter the length of the impact (in linear feet) *Note: when using this metric to only assess impacts no mitigation length should be entered and no data is necessary in Column Nos. 2-5-Mitigation (Credit).  These columns will remain greyed out until a mitigation length is entered.</t>
  </si>
  <si>
    <t>Cell S4 [Comments] – Enter any additional information related to stream/site</t>
  </si>
  <si>
    <t>Cell C7 - Select Stream Classification of Impact Stream using the dropdown menu</t>
  </si>
  <si>
    <t>Cell G4 [Form of Mitigation] – Enter the form of mitigation. Choices are provided from the drop-down list.  Please note when Preservation is chosen, data will only need input in Column No. 2 as Column Nos. 3-5 will be greyed out.</t>
  </si>
  <si>
    <t>Cell M4 [Mitigation Site Lat.] – Enter the mitigation site latitude coordinate in NAD 83 Decimal Degrees</t>
  </si>
  <si>
    <t>Cell O4 [Mitigation Site Long.] – Enter the mitigation longitude coordinate in NAD 83 Decimal Degrees</t>
  </si>
  <si>
    <t xml:space="preserve">Cell Y4 [Mitigation Length] – Enter the linear feet of the compensatory mitigation proposed
</t>
  </si>
  <si>
    <t>Cells F34, F37 – Insert the width of the buffer zone up to 150 feet from each stream channel side.</t>
  </si>
  <si>
    <t>KEEP FOR CONDITIONAL FORMATTING</t>
  </si>
  <si>
    <t>WV</t>
  </si>
  <si>
    <t>OHIO NOT USED</t>
  </si>
  <si>
    <t>old</t>
  </si>
  <si>
    <t>eomurray</t>
  </si>
  <si>
    <t>new</t>
  </si>
  <si>
    <t>Latitude</t>
  </si>
  <si>
    <t>Longitude</t>
  </si>
  <si>
    <t>WETLAND SITE ID AND SITE DESCRIPTION:</t>
  </si>
  <si>
    <t>MITIGATION PROVIDER:</t>
  </si>
  <si>
    <t>PART I - Wetlands Impacted</t>
  </si>
  <si>
    <t>Impact
Wetland ID</t>
  </si>
  <si>
    <t xml:space="preserve">Acres lost to impact </t>
  </si>
  <si>
    <t>Impact wetland classification</t>
  </si>
  <si>
    <t>Replacement units</t>
  </si>
  <si>
    <t>Data validation list for Mitigation Provider (cell E5)</t>
  </si>
  <si>
    <t>W1: avg emergent</t>
  </si>
  <si>
    <t>W2: avg scrub-shrub</t>
  </si>
  <si>
    <t>Scrub-shrub</t>
  </si>
  <si>
    <t>W3: avg forested</t>
  </si>
  <si>
    <t>W5: conversion woody - PEM</t>
  </si>
  <si>
    <t xml:space="preserve">W6: low-functioning forested </t>
  </si>
  <si>
    <t>W7: high-functioning forested</t>
  </si>
  <si>
    <t>Total impacted acres</t>
  </si>
  <si>
    <t>PART II - Replacement Units</t>
  </si>
  <si>
    <t>(enter test data in yellow cells only - worksheet is not protected)</t>
  </si>
  <si>
    <t>Credit Wetland ID</t>
  </si>
  <si>
    <t>Form of mitigation</t>
  </si>
  <si>
    <t>Replace-ment Credit Units</t>
  </si>
  <si>
    <t>Buffer credit units</t>
  </si>
  <si>
    <t>Type multi-plier 50 ft</t>
  </si>
  <si>
    <t>Type multi-plier 150 ft</t>
  </si>
  <si>
    <t>Type multi-plier 400 ft</t>
  </si>
  <si>
    <t>Fraction x Type 50 ft</t>
  </si>
  <si>
    <t>Fraction x Type 150 ft</t>
  </si>
  <si>
    <t>Fraction x Type 400 ft</t>
  </si>
  <si>
    <t>Re-establishment</t>
  </si>
  <si>
    <t>Total replacement credit units</t>
  </si>
  <si>
    <t>Total buffer credit units</t>
  </si>
  <si>
    <t>Total credit units</t>
  </si>
  <si>
    <t>wetland, and each credited outer buffer width must be contiguous to the adjacent inner buffer.</t>
  </si>
  <si>
    <t>Data validation list, col. B</t>
  </si>
  <si>
    <t>50 ft</t>
  </si>
  <si>
    <t>150 ft</t>
  </si>
  <si>
    <t>400 ft</t>
  </si>
  <si>
    <t>Subtotal</t>
  </si>
  <si>
    <r>
      <t xml:space="preserve">Replacement Units </t>
    </r>
    <r>
      <rPr>
        <sz val="11"/>
        <color theme="1"/>
        <rFont val="Arial"/>
        <family val="2"/>
      </rPr>
      <t>(from Part II)</t>
    </r>
  </si>
  <si>
    <t>Adjusted Final Unit Score to Offset (Debit)</t>
  </si>
  <si>
    <t>WV Stream Condition Index (WVSCI)</t>
  </si>
  <si>
    <t>0-100</t>
  </si>
  <si>
    <r>
      <t>MITIGATION DRAINAGE AREA (mi</t>
    </r>
    <r>
      <rPr>
        <b/>
        <vertAlign val="superscript"/>
        <sz val="11"/>
        <rFont val="Arial"/>
        <family val="2"/>
      </rPr>
      <t>2</t>
    </r>
    <r>
      <rPr>
        <b/>
        <sz val="11"/>
        <rFont val="Arial"/>
        <family val="2"/>
      </rPr>
      <t>):</t>
    </r>
  </si>
  <si>
    <r>
      <t>DRAINAGE AREA (mi</t>
    </r>
    <r>
      <rPr>
        <b/>
        <vertAlign val="superscript"/>
        <sz val="11"/>
        <rFont val="Arial"/>
        <family val="2"/>
      </rPr>
      <t>2</t>
    </r>
    <r>
      <rPr>
        <b/>
        <sz val="11"/>
        <rFont val="Arial"/>
        <family val="2"/>
      </rPr>
      <t>)</t>
    </r>
  </si>
  <si>
    <t xml:space="preserve">PHYSICAL INDICATOR </t>
  </si>
  <si>
    <r>
      <rPr>
        <b/>
        <sz val="11"/>
        <rFont val="Arial"/>
        <family val="2"/>
      </rPr>
      <t xml:space="preserve">BIOLOGICAL INDICATOR  
</t>
    </r>
    <r>
      <rPr>
        <sz val="11"/>
        <rFont val="Arial"/>
        <family val="2"/>
      </rPr>
      <t xml:space="preserve">(Applies to Intermittent and Perennial Streams) 
</t>
    </r>
  </si>
  <si>
    <r>
      <t xml:space="preserve">BIOLOGICAL INDICATOR  
</t>
    </r>
    <r>
      <rPr>
        <sz val="11"/>
        <rFont val="Arial"/>
        <family val="2"/>
      </rPr>
      <t xml:space="preserve">(Applies to Intermittent and Perennial Streams) 
</t>
    </r>
  </si>
  <si>
    <r>
      <rPr>
        <b/>
        <sz val="11"/>
        <rFont val="Arial"/>
        <family val="2"/>
      </rPr>
      <t xml:space="preserve">BIOLOGICAL INDICATOR  
</t>
    </r>
    <r>
      <rPr>
        <sz val="11"/>
        <rFont val="Arial"/>
        <family val="2"/>
      </rPr>
      <t xml:space="preserve">(Applies to Intermittent and Perennial Streams) </t>
    </r>
  </si>
  <si>
    <t>BIOLOGICAL INDICATOR SUBTOTAL</t>
  </si>
  <si>
    <t>GLIMPSS Seagion</t>
  </si>
  <si>
    <t>Ref 50th Percentile</t>
  </si>
  <si>
    <t>GLIMPSS Winter Mountains</t>
  </si>
  <si>
    <t>GLIMPSS Spring Mountain</t>
  </si>
  <si>
    <t>GLIMPSS Summer Mountains &lt;60 sq. mi.</t>
  </si>
  <si>
    <t>GLIMPSS Summer Mountains &gt;60 sq. mi.</t>
  </si>
  <si>
    <t>GLIMPSS Winter Plateau</t>
  </si>
  <si>
    <t>GLIMPSS Spring Plateau</t>
  </si>
  <si>
    <t>GLIMPSS Summer Plateau</t>
  </si>
  <si>
    <t>Select a GLIMPSS Seagion</t>
  </si>
  <si>
    <t xml:space="preserve">          WV Genus Level IBI (GLIMPSS)</t>
  </si>
  <si>
    <t>Median Ref</t>
  </si>
  <si>
    <t>Site  Score</t>
  </si>
  <si>
    <r>
      <t xml:space="preserve">COORDINATES </t>
    </r>
    <r>
      <rPr>
        <b/>
        <sz val="10"/>
        <color theme="1"/>
        <rFont val="Arial"/>
        <family val="2"/>
      </rPr>
      <t>(decimal degrees)</t>
    </r>
    <r>
      <rPr>
        <b/>
        <sz val="11"/>
        <color theme="1"/>
        <rFont val="Arial"/>
        <family val="2"/>
      </rPr>
      <t>:</t>
    </r>
  </si>
  <si>
    <t>Classification Ratio (TRUE = Mitigation Bank or Permittee Responsible 1-yr Prior)</t>
  </si>
  <si>
    <r>
      <rPr>
        <b/>
        <sz val="9"/>
        <color theme="1"/>
        <rFont val="Arial"/>
        <family val="2"/>
      </rPr>
      <t>WVWRAM</t>
    </r>
    <r>
      <rPr>
        <b/>
        <sz val="10"/>
        <color theme="1"/>
        <rFont val="Arial"/>
        <family val="2"/>
      </rPr>
      <t xml:space="preserve"> score</t>
    </r>
  </si>
  <si>
    <r>
      <rPr>
        <b/>
        <sz val="9"/>
        <color theme="1"/>
        <rFont val="Arial"/>
        <family val="2"/>
      </rPr>
      <t>WVWRAM</t>
    </r>
    <r>
      <rPr>
        <b/>
        <sz val="10"/>
        <color theme="1"/>
        <rFont val="Arial"/>
        <family val="2"/>
      </rPr>
      <t xml:space="preserve"> with veg adjust off-season</t>
    </r>
  </si>
  <si>
    <t>Survey done in-season</t>
  </si>
  <si>
    <t>W4: high-function emergent</t>
  </si>
  <si>
    <t>Permittee Responsible 1-yr Prior</t>
  </si>
  <si>
    <t>W8: exemplary forested</t>
  </si>
  <si>
    <t>Buffer type 26-50 ft</t>
  </si>
  <si>
    <t>Buffer fraction of 26-50 ft</t>
  </si>
  <si>
    <t>Buffer type 51-150 ft</t>
  </si>
  <si>
    <t>Buffer fraction of 51-150 ft</t>
  </si>
  <si>
    <t>Buffer type 151-400 ft</t>
  </si>
  <si>
    <t>Buffer fraction of 151-400 ft</t>
  </si>
  <si>
    <t>WVWRAM baseline:</t>
  </si>
  <si>
    <t>WVWRAM maturity:</t>
  </si>
  <si>
    <t>Preservation or reference sites have same baseline &amp; maturity score</t>
  </si>
  <si>
    <t>Calculating buffer fraction (include in guidelines)</t>
  </si>
  <si>
    <t>In calculating buffer fraction for credits, note that the buffer must be contiguous to the</t>
  </si>
  <si>
    <t>Lookup list for buffer multiplier (columns O, P,Q)</t>
  </si>
  <si>
    <t>Data validation list for columns G, I, K</t>
  </si>
  <si>
    <t>WV WRAM baseline</t>
  </si>
  <si>
    <t>WV WRAM maturity</t>
  </si>
  <si>
    <t>Sub-Index score based on WVSCI:</t>
  </si>
  <si>
    <t>no default</t>
  </si>
  <si>
    <t>GLIMPSS</t>
  </si>
  <si>
    <t>Sub-Index based on WV GLIPMSS:</t>
  </si>
  <si>
    <r>
      <rPr>
        <b/>
        <sz val="11"/>
        <rFont val="Arial"/>
        <family val="2"/>
      </rPr>
      <t xml:space="preserve">BIOLOGICAL INDICATOR </t>
    </r>
    <r>
      <rPr>
        <sz val="10"/>
        <rFont val="Arial"/>
        <family val="2"/>
      </rPr>
      <t xml:space="preserve"> 
(Not used for Ephemeral Streams)</t>
    </r>
  </si>
  <si>
    <r>
      <rPr>
        <b/>
        <sz val="11"/>
        <rFont val="Arial"/>
        <family val="2"/>
      </rPr>
      <t xml:space="preserve">BIOLOGICAL INDICATOR  
</t>
    </r>
    <r>
      <rPr>
        <sz val="11"/>
        <rFont val="Arial"/>
        <family val="2"/>
      </rPr>
      <t>(Applies to Intermittent and Perennial Streams)</t>
    </r>
    <r>
      <rPr>
        <sz val="10"/>
        <rFont val="Arial"/>
        <family val="2"/>
      </rPr>
      <t xml:space="preserve"> 
Set to 0 for Establishment Mitigation.</t>
    </r>
  </si>
  <si>
    <r>
      <t xml:space="preserve">CHEMICAL INDICATOR </t>
    </r>
    <r>
      <rPr>
        <sz val="10"/>
        <rFont val="Arial"/>
        <family val="2"/>
      </rPr>
      <t>(Not used for Ephemeral Streams)</t>
    </r>
  </si>
  <si>
    <r>
      <t>CHEMICAL INDICATOR</t>
    </r>
    <r>
      <rPr>
        <sz val="10"/>
        <rFont val="Arial"/>
        <family val="2"/>
      </rPr>
      <t xml:space="preserve"> (Data must be entered for Intermittent and Perennial Streams.  No default values.)  Set to 0 for Establishment Mitigation.</t>
    </r>
  </si>
  <si>
    <r>
      <t>CHEMICAL INDICATOR</t>
    </r>
    <r>
      <rPr>
        <sz val="10"/>
        <rFont val="Arial"/>
        <family val="2"/>
      </rPr>
      <t xml:space="preserve"> (Data must be entered for Intermittent and Perennial Streams.  No default values.)</t>
    </r>
  </si>
  <si>
    <t>RPB</t>
  </si>
  <si>
    <t>Acres restored/ protected</t>
  </si>
  <si>
    <r>
      <rPr>
        <b/>
        <sz val="12"/>
        <rFont val="Times New Roman"/>
        <family val="1"/>
      </rPr>
      <t>COLUMN No. 1</t>
    </r>
    <r>
      <rPr>
        <b/>
        <sz val="10"/>
        <rFont val="Times New Roman"/>
        <family val="1"/>
      </rPr>
      <t xml:space="preserve"> </t>
    </r>
    <r>
      <rPr>
        <sz val="10"/>
        <rFont val="Times New Roman"/>
        <family val="1"/>
      </rPr>
      <t>– Impact Existing Condition (</t>
    </r>
    <r>
      <rPr>
        <b/>
        <sz val="10"/>
        <rFont val="Times New Roman"/>
        <family val="1"/>
      </rPr>
      <t>Debit</t>
    </r>
    <r>
      <rPr>
        <sz val="10"/>
        <rFont val="Times New Roman"/>
        <family val="1"/>
      </rPr>
      <t>) – This column establishes the baseline conditions of the proposed impact site. When using this metric to only assess impacts no mitigation length should be entered and no data is necessary in Column Nos. 2-5-Mitigation (Credit).  These columns will remain greyed out until a mitigation length is entered. All projects proposing an impact (debit) to waters of the U.S. shall enter data in this column, as follows:</t>
    </r>
  </si>
  <si>
    <t>Cell C8 - Input Percent Stream Channel Slope for Impact Stream</t>
  </si>
  <si>
    <r>
      <rPr>
        <b/>
        <sz val="12"/>
        <rFont val="Times New Roman"/>
        <family val="1"/>
      </rPr>
      <t>Part I</t>
    </r>
    <r>
      <rPr>
        <b/>
        <sz val="10"/>
        <rFont val="Times New Roman"/>
        <family val="1"/>
      </rPr>
      <t xml:space="preserve"> – Hydrogeomorphic Approach (HGM), Physical, Chemical and Biological Indicators</t>
    </r>
  </si>
  <si>
    <r>
      <rPr>
        <b/>
        <sz val="10"/>
        <rFont val="Times New Roman"/>
        <family val="1"/>
      </rPr>
      <t xml:space="preserve">[HGM] </t>
    </r>
    <r>
      <rPr>
        <sz val="10"/>
        <rFont val="Times New Roman"/>
        <family val="1"/>
      </rPr>
      <t>Cells</t>
    </r>
    <r>
      <rPr>
        <b/>
        <sz val="10"/>
        <rFont val="Times New Roman"/>
        <family val="1"/>
      </rPr>
      <t xml:space="preserve"> </t>
    </r>
    <r>
      <rPr>
        <sz val="10"/>
        <rFont val="Times New Roman"/>
        <family val="1"/>
      </rPr>
      <t xml:space="preserve">C11-C17 – Input Hydrology, Biogeochemical Cycling and Habitat Functional Capacity Index (FCI) scores generated by completing the HGM assessment.  HGM data forms should accompany the submittal of SWVM assessments.  An average is taken between the three HGM FCI scores.  This is then averaged with the overall SWVM score to indicate a final index score. </t>
    </r>
  </si>
  <si>
    <r>
      <rPr>
        <b/>
        <sz val="10"/>
        <color theme="1"/>
        <rFont val="Arial"/>
        <family val="2"/>
      </rPr>
      <t>Restoration Level 1</t>
    </r>
    <r>
      <rPr>
        <sz val="10"/>
        <color theme="1"/>
        <rFont val="Arial"/>
        <family val="2"/>
      </rPr>
      <t xml:space="preserve"> </t>
    </r>
    <r>
      <rPr>
        <sz val="10"/>
        <color theme="1"/>
        <rFont val="Calibri"/>
        <family val="2"/>
      </rPr>
      <t>‒</t>
    </r>
    <r>
      <rPr>
        <sz val="10"/>
        <color theme="1"/>
        <rFont val="Arial"/>
        <family val="2"/>
      </rPr>
      <t xml:space="preserve"> Reconnection to original floodplain; Large scale perennial/intermittent streams; full-extent channel restoration; dimension, pattern and profile work. </t>
    </r>
  </si>
  <si>
    <r>
      <rPr>
        <b/>
        <sz val="10"/>
        <color theme="1"/>
        <rFont val="Arial"/>
        <family val="2"/>
      </rPr>
      <t>Restoration Level 2</t>
    </r>
    <r>
      <rPr>
        <sz val="10"/>
        <color theme="1"/>
        <rFont val="Arial"/>
        <family val="2"/>
      </rPr>
      <t xml:space="preserve"> </t>
    </r>
    <r>
      <rPr>
        <sz val="10"/>
        <color theme="1"/>
        <rFont val="Calibri"/>
        <family val="2"/>
      </rPr>
      <t>‒</t>
    </r>
    <r>
      <rPr>
        <sz val="10"/>
        <color theme="1"/>
        <rFont val="Arial"/>
        <family val="2"/>
      </rPr>
      <t xml:space="preserve"> Re-establishment of new floodplain not at original; Large to moderately sized perennial/intermittent streams; full-extent channel restoration; dimension, pattern and profile work.</t>
    </r>
  </si>
  <si>
    <r>
      <rPr>
        <b/>
        <sz val="10"/>
        <color theme="1"/>
        <rFont val="Arial"/>
        <family val="2"/>
      </rPr>
      <t>Restoration Level 3</t>
    </r>
    <r>
      <rPr>
        <sz val="10"/>
        <color theme="1"/>
        <rFont val="Arial"/>
        <family val="2"/>
      </rPr>
      <t xml:space="preserve"> </t>
    </r>
    <r>
      <rPr>
        <sz val="10"/>
        <color theme="1"/>
        <rFont val="Calibri"/>
        <family val="2"/>
      </rPr>
      <t>‒</t>
    </r>
    <r>
      <rPr>
        <sz val="10"/>
        <color theme="1"/>
        <rFont val="Arial"/>
        <family val="2"/>
      </rPr>
      <t xml:space="preserve"> All stream types; full-extent channel restoration; dimension, pattern and profile work.</t>
    </r>
  </si>
  <si>
    <t>PHYSICAL INDICATOR</t>
  </si>
  <si>
    <r>
      <t xml:space="preserve">Extended Upland Buffer Zone 
</t>
    </r>
    <r>
      <rPr>
        <b/>
        <sz val="8"/>
        <color theme="1"/>
        <rFont val="Arial"/>
        <family val="2"/>
      </rPr>
      <t>*Note</t>
    </r>
    <r>
      <rPr>
        <b/>
        <vertAlign val="superscript"/>
        <sz val="8"/>
        <color theme="1"/>
        <rFont val="Arial"/>
        <family val="2"/>
      </rPr>
      <t>1</t>
    </r>
    <r>
      <rPr>
        <b/>
        <sz val="8"/>
        <color theme="1"/>
        <rFont val="Arial"/>
        <family val="2"/>
      </rPr>
      <t>: Reference the current version Pubic Notice for the definitions of the Buffer Zone Extents and Types 
*Note</t>
    </r>
    <r>
      <rPr>
        <b/>
        <vertAlign val="superscript"/>
        <sz val="8"/>
        <color theme="1"/>
        <rFont val="Arial"/>
        <family val="2"/>
      </rPr>
      <t>2</t>
    </r>
    <r>
      <rPr>
        <b/>
        <sz val="8"/>
        <color theme="1"/>
        <rFont val="Arial"/>
        <family val="2"/>
      </rPr>
      <t>: Enter the buffer width for each channel side (Left Bank and Right Bank)
*Note</t>
    </r>
    <r>
      <rPr>
        <b/>
        <vertAlign val="superscript"/>
        <sz val="8"/>
        <color theme="1"/>
        <rFont val="Arial"/>
        <family val="2"/>
      </rPr>
      <t>3</t>
    </r>
    <r>
      <rPr>
        <b/>
        <sz val="8"/>
        <color theme="1"/>
        <rFont val="Arial"/>
        <family val="2"/>
      </rPr>
      <t>: Select the appropriate mitigation type</t>
    </r>
  </si>
  <si>
    <r>
      <rPr>
        <b/>
        <sz val="12"/>
        <rFont val="Times New Roman"/>
        <family val="1"/>
      </rPr>
      <t>COLUMN No. 3</t>
    </r>
    <r>
      <rPr>
        <sz val="10"/>
        <rFont val="Times New Roman"/>
        <family val="1"/>
      </rPr>
      <t xml:space="preserve"> – Mitigation Projected at Five (5) Years Post Completion (Credit) - All projects proposing compensatory mitigation (credit) to waters of the U.S. shall enter data in Column No. 3.  This column is utilized to establish the projected condition of the site after five (5) years of completion.  Generally, there should not be a dramatic or substantial increase in functional unit scores between year 5 and 10 projected assessments (i.e. the duration of total stream buffer revegetation will typically be the last element to reach maturity for optimal functional input).  The five (5) year post-completion benchmark is also utilized to clearly identify performance standards and success criteria, which will be incorporated into Department of the Army Permits as special conditions.</t>
    </r>
  </si>
  <si>
    <r>
      <rPr>
        <b/>
        <sz val="12"/>
        <rFont val="Times New Roman"/>
        <family val="1"/>
      </rPr>
      <t>COLUMN No. 4</t>
    </r>
    <r>
      <rPr>
        <b/>
        <sz val="10"/>
        <rFont val="Times New Roman"/>
        <family val="1"/>
      </rPr>
      <t xml:space="preserve"> </t>
    </r>
    <r>
      <rPr>
        <sz val="10"/>
        <rFont val="Times New Roman"/>
        <family val="1"/>
      </rPr>
      <t xml:space="preserve">– Mitigation Projected at 10 Years Post Completion (Credit) - All projects proposing compensatory mitigation (credit) to waters of the U.S. shall enter data in Column No. 4.  This column is utilized to establish the projected condition of the site after 10 years of completion.  The 10 year post-completion benchmark is also utilized to clearly identify performance standards and success criteria, which will be incorporated into Department of the Army Permits as special conditions.  </t>
    </r>
  </si>
  <si>
    <r>
      <t xml:space="preserve">DEFAULT VALUES: The default value for ILF and Mitigation Bank is </t>
    </r>
    <r>
      <rPr>
        <sz val="10"/>
        <rFont val="Calibri"/>
        <family val="2"/>
      </rPr>
      <t>≤</t>
    </r>
    <r>
      <rPr>
        <sz val="9"/>
        <rFont val="Times New Roman"/>
        <family val="1"/>
      </rPr>
      <t xml:space="preserve"> 1</t>
    </r>
    <r>
      <rPr>
        <sz val="10"/>
        <rFont val="Times New Roman"/>
        <family val="1"/>
      </rPr>
      <t xml:space="preserve"> year.</t>
    </r>
  </si>
  <si>
    <t xml:space="preserve">Cells H34, H35 and H37, H38 – Select from dropdown menu the class of buffer preservation and/or revegetation being proposed to be performed.  </t>
  </si>
  <si>
    <t>Test stream</t>
  </si>
  <si>
    <t>Site 
(name entered on Stream Parts I-II)</t>
  </si>
  <si>
    <r>
      <t xml:space="preserve">Extent of Stream Restoration 
</t>
    </r>
    <r>
      <rPr>
        <b/>
        <sz val="8"/>
        <color theme="1"/>
        <rFont val="Arial"/>
        <family val="2"/>
      </rPr>
      <t>*Note1: Reference the current version of Public Notice of Restoration Levels (below) for your project.</t>
    </r>
  </si>
  <si>
    <t xml:space="preserve">          USEPA RBP (Select a Data Sheet)</t>
  </si>
  <si>
    <t xml:space="preserve">PART III - Impact Factors
</t>
  </si>
  <si>
    <t xml:space="preserve">PART IV- Factors </t>
  </si>
  <si>
    <t>HGMUsed Impact?</t>
  </si>
  <si>
    <t>HGMUsed Mitigation?</t>
  </si>
  <si>
    <t>Are Temp loss or LT protection used (not for mit of ILF)</t>
  </si>
  <si>
    <t>Buffer</t>
  </si>
  <si>
    <t>Actual list in Lists and Arrays… this is just replicating those values</t>
  </si>
  <si>
    <t>Conversion</t>
  </si>
  <si>
    <t>Site Elevation (ft)</t>
  </si>
  <si>
    <t>Survey Date</t>
  </si>
  <si>
    <t>Survey month</t>
  </si>
  <si>
    <t>Preservation &amp; Supplemental Planting</t>
  </si>
  <si>
    <t>Preservation &amp; Re-vegetation</t>
  </si>
  <si>
    <t>Temporal Loss-Construction</t>
  </si>
  <si>
    <t>Long-term Protection</t>
  </si>
  <si>
    <t>Mitigation of ILF?</t>
  </si>
  <si>
    <t xml:space="preserve">The West Virginia SWVM is composed of six tabs including the following: Instructions, Stream Parts I-II, Stream Parts III-VI, Wetlands Parts I-II, Wetlands Parts III-IV, and Wetlands Part V.  The West Virginia SWVM has been designed to indicate where data entry is required.  All cells or fields highlighted in red in the stream tabs or yellow in the wetlands tabs shall be populated by the applicant, consultant or practitioner.  Below are descriptions of the information or data being requested:     </t>
  </si>
  <si>
    <t>Wetlands I-II</t>
  </si>
  <si>
    <t>Cell H4 [Wetland ID and Site Description] – Overall wetland area description.</t>
  </si>
  <si>
    <t>Part I - Wetlands Impacted</t>
  </si>
  <si>
    <t>Part II - Replacement Units</t>
  </si>
  <si>
    <t>Wetlands III</t>
  </si>
  <si>
    <t>Part III - Credits Generated</t>
  </si>
  <si>
    <t>Part IV- Factors</t>
  </si>
  <si>
    <t>Wetlands Parts IV-V</t>
  </si>
  <si>
    <t>DEFAULT VALUES: The default value for Mitigation Banking and/or ILF is perpetual, "101",  since these projects are required by the IRT to obtain perpetual protection.</t>
  </si>
  <si>
    <t>Wetland C1</t>
  </si>
  <si>
    <t>Wetland C3</t>
  </si>
  <si>
    <t>Wetland C2</t>
  </si>
  <si>
    <t>Long-Term Protection (Years) 
(For "in perpetuity" enter 101)</t>
  </si>
  <si>
    <r>
      <t xml:space="preserve"> Mitigation </t>
    </r>
    <r>
      <rPr>
        <sz val="11"/>
        <color theme="1"/>
        <rFont val="Arial"/>
        <family val="2"/>
      </rPr>
      <t>(from Part III)</t>
    </r>
    <r>
      <rPr>
        <b/>
        <sz val="11"/>
        <color theme="1"/>
        <rFont val="Arial"/>
        <family val="2"/>
      </rPr>
      <t xml:space="preserve"> (Credit)</t>
    </r>
  </si>
  <si>
    <t>PART III -  Mitigation Credits Generated</t>
  </si>
  <si>
    <t>PART V - Final Unit Score</t>
  </si>
  <si>
    <t>Part V – Final Unit Score - No data entry is required.  This part depicts the "Replacement Units",  “Adjusted Final Unit Score to Offset (Debit)” with Part IV - Factors included in comparison with the Mitigation (Credit).  Functional lift is defined as the balance between the “Adjusted Final Unit Score to Offset (Debit)” and “Mitigation (from Part III) (Credit)”.  The balance of the “Mitigation (from Part III) (Credit)” shall be equal to or greater than the “Adjusted Final Unit Score to Offset (Debit)” to adequately offset the proposed impacts and be compliant with the national policy of “no net loss”.</t>
  </si>
  <si>
    <t>DEFAULT VALUES: The default value for ILF is four (4) years (or 12%) and Mitigation Bank is zero (0) years.  If either of these are selected, the rest of the factors will be grayed out and default scores used.</t>
  </si>
  <si>
    <t>Cells L4-L15 [Buffer Type 151-400ft] – Use the dropdown menu to select the buffer type that is 151-400 feet from the wetland edge.</t>
  </si>
  <si>
    <t xml:space="preserve">Cells K4-K15 [Buffer Fraction 51-150ft] – Enter the fraction of the perimeter of each credit wetland with buffer 51-150 feet from the wetland edge.  In calculating buffer fraction for credits, note that the buffer must be contiguous to the wetland, and each credited outer buffer width must be contiguous to the adjacent inner buffer.  </t>
  </si>
  <si>
    <t>Cells J4-J15 [Buffer Type 51-150ft] – Use the dropdown menu to select the buffer type that is 51-150 feet from the wetland edge.</t>
  </si>
  <si>
    <t>Cells I4-I15 [Buffer Fraction 26-50ft] – Enter the fraction of the perimeter of each credit wetland with buffer 26-50 feet in width.  In calculating buffer fraction for credits, note that the buffer must be contiguous to the wetland, and each credited outer buffer width must be contiguous to the adjacent inner buffer.</t>
  </si>
  <si>
    <t>Cells H4-H15 [Buffer Type 26-50ft] – Use the dropdown menu to select the buffer type that is 26-50 feet in width from the wetland edge.</t>
  </si>
  <si>
    <t>Cells F4-F15 [WVWRAM Maturity] – Enter the forecast WVWRAM Score at maturity for each credit wetland area.</t>
  </si>
  <si>
    <t>Cells D4-D15 [Acres restored/protected] – Enter the acreage for each credit wetland area.</t>
  </si>
  <si>
    <t>Cells C4-C15 [Form of Mitigation] – Use the drop down menu to select the form of mitigation for each credit wetland area.</t>
  </si>
  <si>
    <t>Cells B4-B15 [Credit Wetland ID] – Enter the identifier and name for each credit wetland area.</t>
  </si>
  <si>
    <t>Cells M23 – No data entry needed.  Replacement Units automatically calculated.</t>
  </si>
  <si>
    <t>Cells K9-K20 [Impact Wetland ID] – Use the drop down menu to select the wetland classification for each impacted wetland area.</t>
  </si>
  <si>
    <t>Cells I9-I20 [Survey Date] – Enter the date of survey for each impacted wetland area.</t>
  </si>
  <si>
    <t>Cells H9-H20 [Site Elevation] – Enter the site elevation in feet for each impacted wetland area.</t>
  </si>
  <si>
    <t>Cells F9-F20 [Acres lost to impact] – Enter the acreage for each impacted wetland area.</t>
  </si>
  <si>
    <t>Cells B9-B20 [Impact Wetland ID] – Enter the identifier and name for each impacted wetland area.</t>
  </si>
  <si>
    <t>Cell C6 [Date] – Enter date of the assessment being performed.</t>
  </si>
  <si>
    <t>Cell H5 [Mitigation Provider] – Use the drop down menu to select mitigation type/provider.</t>
  </si>
  <si>
    <t>Cell L3 [Impact Site Long.] – Enter longitude coordinate in NAD 83 Decimal Degrees.</t>
  </si>
  <si>
    <t>Cell H3 [Impact Site Lat.] – Enter latitude coordinate in NAD 83 Decimal Degrees.</t>
  </si>
  <si>
    <t>Cells E4-E15 [WVWRAM Baseline] – Enter the baseline WVWRAM Score for each credit wetland area.  Note: Preservation sites should have the same baseline &amp; maturity score.</t>
  </si>
  <si>
    <t xml:space="preserve">Cells A33-A35 – Reference the Public Notice for definitions of Restoration Levels and select appropriately.  Choose only one.
</t>
  </si>
  <si>
    <t>Cells G9-G20 [WVWRAM Score] – Enter the WVWRAM Score for each impacted wetland area.</t>
  </si>
  <si>
    <t>Cells M4-M15 [Buffer Fraction 151-400ft] – Enter the fraction of  the perimeter of each credit wetland with buffer 151-400 feet from the wetland edge. In calculating buffer fraction for credits, note that the buffer must be contiguous to the wetland, and each credited outer buffer width must be contiguous to the adjacent inner buffer.</t>
  </si>
  <si>
    <t xml:space="preserve">Cell C2 [USACE File No./Project Name] –  Enter USACE File Number as well as the overall project name.  </t>
  </si>
  <si>
    <r>
      <t>Cell C5 [Drainage Area (mi</t>
    </r>
    <r>
      <rPr>
        <vertAlign val="superscript"/>
        <sz val="10"/>
        <rFont val="Times New Roman"/>
        <family val="1"/>
      </rPr>
      <t>2</t>
    </r>
    <r>
      <rPr>
        <sz val="10"/>
        <rFont val="Times New Roman"/>
        <family val="1"/>
      </rPr>
      <t>)] – Enter the drainage area in square miles of the area above/upstream the impact site being assessed</t>
    </r>
  </si>
  <si>
    <r>
      <t>[</t>
    </r>
    <r>
      <rPr>
        <b/>
        <sz val="10"/>
        <rFont val="Times New Roman"/>
        <family val="1"/>
      </rPr>
      <t>Physical Indicator</t>
    </r>
    <r>
      <rPr>
        <sz val="10"/>
        <rFont val="Times New Roman"/>
        <family val="1"/>
      </rPr>
      <t xml:space="preserve">] Cells E20 - E33 – Indicate the physical condition of the stream by applying the US EPA Rapid Bioassessment Protocol (US EPA RBP). This portion of Part I is required for all stream classifications.  </t>
    </r>
  </si>
  <si>
    <t xml:space="preserve">Cell C20 – Select  High Gradient or Low Gradient Stream Data Sheet, as applicable.  Cells C21-30.  Enter scores for all parameters.  When completing impact and mitigation site assessments on high-gradient ephemeral streams,  parameters 1, 3, 5 and 7 are greyed out and no data are input.  Similarly for low-gradient ephemeral streams, parameters 1, 2, 3, and 5 are greyed out and no data input. </t>
  </si>
  <si>
    <r>
      <rPr>
        <b/>
        <sz val="10"/>
        <rFont val="Times New Roman"/>
        <family val="1"/>
      </rPr>
      <t xml:space="preserve">[Chemical Indicator] – </t>
    </r>
    <r>
      <rPr>
        <sz val="10"/>
        <rFont val="Times New Roman"/>
        <family val="1"/>
      </rPr>
      <t xml:space="preserve">Indicate the chemical condition or water quality of the stream by inputting values for Specific Conductivity, pH, and Dissolved Oxygen.  This portion of Part I shall be completed for wadeable perennial and intermittent stream classifications; in the event data for these fields are not collected, water quality will be assumed.  For ephemeral stream classification no data is required.  Note: when the user selects ephemeral stream classification the Chemical Indicator will be greyed out.  In this instance, the metric will generate an index score based upon the HGM and Physical Indicator.  Note: Specific Conductivity input will be </t>
    </r>
    <r>
      <rPr>
        <sz val="10"/>
        <rFont val="Calibri"/>
        <family val="2"/>
      </rPr>
      <t>µ</t>
    </r>
    <r>
      <rPr>
        <sz val="9"/>
        <rFont val="Times New Roman"/>
        <family val="1"/>
      </rPr>
      <t>S/cm</t>
    </r>
    <r>
      <rPr>
        <sz val="10"/>
        <rFont val="Times New Roman"/>
        <family val="1"/>
      </rPr>
      <t xml:space="preserve">, pH input will be SI units, and Dissolved Oxygen input will be mg/L. </t>
    </r>
  </si>
  <si>
    <r>
      <t>Cells E39, E42, and E45 (</t>
    </r>
    <r>
      <rPr>
        <b/>
        <sz val="10"/>
        <rFont val="Times New Roman"/>
        <family val="1"/>
      </rPr>
      <t>Specific Conductivity, pH, Dissolved Oxygen</t>
    </r>
    <r>
      <rPr>
        <sz val="10"/>
        <rFont val="Times New Roman"/>
        <family val="1"/>
      </rPr>
      <t xml:space="preserve">, when applicable)  – Check the box indicating default values not used; input values collected during the stream assessment.   </t>
    </r>
  </si>
  <si>
    <t xml:space="preserve">Cell B66 (GLIMPSS, when used) –  Select GLIMPSS Seagion from dropdown menu. </t>
  </si>
  <si>
    <t>Cell E66 (GLIMPSS, when used) –  Input the site score  for GLIMPSS.</t>
  </si>
  <si>
    <t>Cell R3 [Mitigation Stream Class/ Site ID Description] – Enter the stream name, stream segment identifier (which may correlate to a drawing), and riparian condition (e.g. mature tree stratum)</t>
  </si>
  <si>
    <r>
      <t>Cell Y5 [Mitigation Drainage Area (mi</t>
    </r>
    <r>
      <rPr>
        <vertAlign val="superscript"/>
        <sz val="10"/>
        <rFont val="Times New Roman"/>
        <family val="1"/>
      </rPr>
      <t>2</t>
    </r>
    <r>
      <rPr>
        <sz val="10"/>
        <rFont val="Times New Roman"/>
        <family val="1"/>
      </rPr>
      <t>)] – Enter the drainage area in square miles of the area above/upstream the mitigation site being assessed</t>
    </r>
  </si>
  <si>
    <r>
      <rPr>
        <b/>
        <sz val="12"/>
        <rFont val="Times New Roman"/>
        <family val="1"/>
      </rPr>
      <t>COLUMN No. 2</t>
    </r>
    <r>
      <rPr>
        <sz val="10"/>
        <rFont val="Times New Roman"/>
        <family val="1"/>
      </rPr>
      <t xml:space="preserve"> – Mitigation Existing Condition (Credit) – All projects proposing compensatory mitigation (credit) to waters of the U.S. shall enter data in Column No. 2.  This column is utilized to establish the baseline conditions for the mitigation site.  For stream creation/establishment no data will be entered into this column and reflect baseline mitigation conditions as “0”. </t>
    </r>
  </si>
  <si>
    <r>
      <rPr>
        <b/>
        <sz val="12"/>
        <rFont val="Times New Roman"/>
        <family val="1"/>
      </rPr>
      <t xml:space="preserve">COLUMN No. 5 </t>
    </r>
    <r>
      <rPr>
        <sz val="10"/>
        <rFont val="Times New Roman"/>
        <family val="1"/>
      </rPr>
      <t>– Mitigation Projected Upon Maturity (Credit)</t>
    </r>
  </si>
  <si>
    <t xml:space="preserve">Cell C8 [Temporal Loss-Construction] – Select either Mitigation Bank, In-Lieu Fee or the number of years reflecting the duration of aquatic functional loss between the time of impact (debit) and completion of compensatory mitigation (credit).  For example, if PRM is proposed and it will be five (5) years before the mitigation will be completed then enter a “5”.  </t>
  </si>
  <si>
    <t xml:space="preserve">Cell C19 [Temporal Loss-Maturity] – Enter the number of years representing the period between completion of compensatory mitigation measures and the time required for maturity, as it relates to function (i.e. the full restoration of a riparian buffer zone may require 40 or more years of sustained growth to contribute detritus and large woody debris and to provide light and temperature regulation).  </t>
  </si>
  <si>
    <t>Cell H6 [Long-term Protection] – Enter the number of years representing the period of protection proposed for the mitigation site.  Long-term protection is obtained via acceptable real estate instrument to ensure sustainable gains in values.  Perpetual protection should be entered as “101” or “Perpetual”.</t>
  </si>
  <si>
    <t xml:space="preserve">Part IV – Index to Unit Score Conversion - No data entry is required.  This section displays the final index score, which is utilized to generate a final debit unit score.  </t>
  </si>
  <si>
    <t xml:space="preserve">Part VI – Mitigation Considerations </t>
  </si>
  <si>
    <t xml:space="preserve">Cell A37 – Check the box if a Conservation Easement will be placed on the mitigation site.  </t>
  </si>
  <si>
    <t xml:space="preserve">Cell E2 [USACE File No./Project Name] – Enter USACE File Number as well as the overall project name.  </t>
  </si>
  <si>
    <t xml:space="preserve">Cell C6 [Temporal Loss-Construction] – Use the drop down menu to select either Mitigation Bank, In-Lieu Fee or the number of years reflecting the duration of aquatic functional loss between the time of impact (debit) and completion of compensatory mitigation (credit).  For example, if PRM is proposed and it will be five (5) years before the mitigation will be completed then enter a “5”.  </t>
  </si>
  <si>
    <t xml:space="preserve">Cell C18 [Temporal Loss-Maturity] – Enter the number of years representing the period between completion of compensatory mitigation measures and the time required for maturity, as it relates to function (i.e. the full restoration of a forested wetland or peatland may require 40 or more years of sustained growth.  </t>
  </si>
  <si>
    <t>Cell H8 [Long-term Protection] – Enter the number of years representing the period of protection proposed for the mitigation site.  Long-term protection is obtained via acceptable real estate instrument to ensure sustainable gains in values.  Perpetual protection should be entered as “101”.</t>
  </si>
  <si>
    <t>sq ft</t>
  </si>
  <si>
    <t>Select a Mitigation form or Year Delay for Mitigation Construction</t>
  </si>
  <si>
    <t>West Virginia Stream and Wetland Valuation Metric (SWVM) 
(July 2024)</t>
  </si>
  <si>
    <t>Sub-Total Replacement Units (Impact)</t>
  </si>
  <si>
    <r>
      <t xml:space="preserve">USACE FILE NO./ Project Name:
</t>
    </r>
    <r>
      <rPr>
        <b/>
        <sz val="8"/>
        <color rgb="FFFF0000"/>
        <rFont val="Arial"/>
        <family val="2"/>
      </rPr>
      <t>(Version 7-30-24)</t>
    </r>
  </si>
  <si>
    <t>Cell E62 (WVSCI) – Enter WVSCI Score</t>
  </si>
  <si>
    <r>
      <rPr>
        <b/>
        <sz val="10"/>
        <rFont val="Times New Roman"/>
        <family val="1"/>
      </rPr>
      <t>[Biological Indicator]</t>
    </r>
    <r>
      <rPr>
        <sz val="10"/>
        <rFont val="Times New Roman"/>
        <family val="1"/>
      </rPr>
      <t xml:space="preserve"> – Indicate the biological condition of the stream by inputting the data based upon the West Virginia Stream Condition Index (WVSCI) utilizing the West Virginia Department of Environmental Protection’s (WVDEP) protocol.  It is recommended this portion of Part I be completed for perennial and intermittent stream classifications, or a default value will be used.  For ephemeral stream classification no data is required.  Note: when the user selects ephemeral stream classification the Chemical Indicator will be greyed out.  In this instance, the metric will generate an index score based upon the HGM and Physical Indicator.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</si>
</sst>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09]dd\-mmm\-yy;@"/>
    <numFmt numFmtId="165" formatCode="&quot;$&quot;#,##0.00"/>
    <numFmt numFmtId="166" formatCode="0.000000"/>
    <numFmt numFmtId="167" formatCode="[$-409]mmmm\ d\,\ yyyy;@"/>
    <numFmt numFmtId="168" formatCode="0.000"/>
    <numFmt numFmtId="169" formatCode="&quot;x&quot;\ 0.0"/>
    <numFmt numFmtId="170" formatCode="0.0000"/>
    <numFmt numFmtId="171" formatCode="&quot;1:&quot;0"/>
    <numFmt numFmtId="172" formatCode="&quot;$&quot;#,##0"/>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8"/>
      <name val="Arial"/>
      <family val="2"/>
    </font>
    <font>
      <b/>
      <sz val="8"/>
      <name val="Arial"/>
      <family val="2"/>
    </font>
    <font>
      <u/>
      <sz val="8"/>
      <name val="Arial"/>
      <family val="2"/>
    </font>
    <font>
      <u/>
      <sz val="8"/>
      <name val="Arial"/>
      <family val="2"/>
    </font>
    <font>
      <i/>
      <sz val="8"/>
      <name val="Arial"/>
      <family val="2"/>
    </font>
    <font>
      <sz val="10"/>
      <name val="Arial"/>
      <family val="2"/>
    </font>
    <font>
      <b/>
      <sz val="12"/>
      <name val="Arial"/>
      <family val="2"/>
    </font>
    <font>
      <b/>
      <sz val="11"/>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4"/>
      <name val="Arial"/>
      <family val="2"/>
    </font>
    <font>
      <sz val="10"/>
      <color theme="0"/>
      <name val="Arial"/>
      <family val="2"/>
    </font>
    <font>
      <sz val="10"/>
      <color rgb="FFFF0000"/>
      <name val="Arial"/>
      <family val="2"/>
    </font>
    <font>
      <b/>
      <sz val="10"/>
      <color rgb="FFFF0000"/>
      <name val="Arial"/>
      <family val="2"/>
    </font>
    <font>
      <b/>
      <sz val="9"/>
      <name val="Arial"/>
      <family val="2"/>
    </font>
    <font>
      <sz val="9"/>
      <name val="Arial"/>
      <family val="2"/>
    </font>
    <font>
      <sz val="10"/>
      <color rgb="FFFF0000"/>
      <name val="Times New Roman"/>
      <family val="1"/>
    </font>
    <font>
      <b/>
      <sz val="8"/>
      <color rgb="FFFF0000"/>
      <name val="Arial"/>
      <family val="2"/>
    </font>
    <font>
      <b/>
      <sz val="16"/>
      <name val="Arial"/>
      <family val="2"/>
    </font>
    <font>
      <b/>
      <sz val="11"/>
      <color rgb="FFFF0000"/>
      <name val="Arial"/>
      <family val="2"/>
    </font>
    <font>
      <b/>
      <sz val="11"/>
      <color theme="1"/>
      <name val="Arial"/>
      <family val="2"/>
    </font>
    <font>
      <sz val="10"/>
      <color rgb="FF00B050"/>
      <name val="Arial"/>
      <family val="2"/>
    </font>
    <font>
      <sz val="8"/>
      <color rgb="FF00B050"/>
      <name val="Arial"/>
      <family val="2"/>
    </font>
    <font>
      <b/>
      <sz val="10"/>
      <color rgb="FF008000"/>
      <name val="Arial"/>
      <family val="2"/>
    </font>
    <font>
      <sz val="8"/>
      <color rgb="FF008000"/>
      <name val="Arial"/>
      <family val="2"/>
    </font>
    <font>
      <sz val="10"/>
      <color rgb="FF008000"/>
      <name val="Arial"/>
      <family val="2"/>
    </font>
    <font>
      <sz val="10"/>
      <color rgb="FFC00000"/>
      <name val="Arial"/>
      <family val="2"/>
    </font>
    <font>
      <sz val="8"/>
      <color rgb="FF000000"/>
      <name val="Segoe UI"/>
      <family val="2"/>
    </font>
    <font>
      <sz val="10"/>
      <color theme="8" tint="-0.249977111117893"/>
      <name val="Arial"/>
      <family val="2"/>
    </font>
    <font>
      <sz val="9"/>
      <color rgb="FFFF0000"/>
      <name val="Arial"/>
      <family val="2"/>
    </font>
    <font>
      <sz val="10"/>
      <name val="Calibri"/>
      <family val="2"/>
    </font>
    <font>
      <sz val="10"/>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b/>
      <sz val="9"/>
      <color theme="1"/>
      <name val="Arial"/>
      <family val="2"/>
    </font>
    <font>
      <sz val="11"/>
      <color theme="1"/>
      <name val="Arial"/>
      <family val="2"/>
    </font>
    <font>
      <b/>
      <sz val="12"/>
      <color theme="1"/>
      <name val="Arial"/>
      <family val="2"/>
    </font>
    <font>
      <sz val="8"/>
      <color rgb="FFFF0000"/>
      <name val="Arial"/>
      <family val="2"/>
    </font>
    <font>
      <i/>
      <sz val="9"/>
      <color theme="1"/>
      <name val="Arial"/>
      <family val="2"/>
    </font>
    <font>
      <b/>
      <vertAlign val="superscript"/>
      <sz val="8"/>
      <color theme="1"/>
      <name val="Arial"/>
      <family val="2"/>
    </font>
    <font>
      <sz val="10"/>
      <name val="Arial"/>
      <family val="2"/>
    </font>
    <font>
      <sz val="10"/>
      <color theme="1"/>
      <name val="Calibri"/>
      <family val="2"/>
    </font>
    <font>
      <sz val="12"/>
      <color rgb="FFFF0000"/>
      <name val="Arial"/>
      <family val="2"/>
    </font>
    <font>
      <sz val="11"/>
      <color rgb="FFFF0000"/>
      <name val="Arial"/>
      <family val="2"/>
    </font>
    <font>
      <sz val="10"/>
      <color theme="0" tint="-0.499984740745262"/>
      <name val="Arial"/>
      <family val="2"/>
    </font>
    <font>
      <b/>
      <sz val="11"/>
      <color theme="1"/>
      <name val="Calibri"/>
      <family val="2"/>
      <scheme val="minor"/>
    </font>
    <font>
      <b/>
      <i/>
      <sz val="14"/>
      <color rgb="FFFF0000"/>
      <name val="Calibri"/>
      <family val="2"/>
      <scheme val="minor"/>
    </font>
    <font>
      <b/>
      <sz val="14"/>
      <color theme="1"/>
      <name val="Arial"/>
      <family val="2"/>
    </font>
    <font>
      <b/>
      <u/>
      <sz val="10"/>
      <color theme="1"/>
      <name val="Arial"/>
      <family val="2"/>
    </font>
    <font>
      <i/>
      <sz val="8"/>
      <color theme="1"/>
      <name val="Arial"/>
      <family val="2"/>
    </font>
    <font>
      <b/>
      <sz val="11"/>
      <color theme="5" tint="-0.249977111117893"/>
      <name val="Arial"/>
      <family val="2"/>
    </font>
    <font>
      <b/>
      <vertAlign val="superscript"/>
      <sz val="11"/>
      <name val="Arial"/>
      <family val="2"/>
    </font>
    <font>
      <sz val="8"/>
      <color rgb="FFC00000"/>
      <name val="Arial"/>
      <family val="2"/>
    </font>
    <font>
      <sz val="12"/>
      <name val="Arial"/>
      <family val="2"/>
    </font>
    <font>
      <sz val="10"/>
      <name val="Times New Roman"/>
      <family val="1"/>
    </font>
    <font>
      <b/>
      <i/>
      <u/>
      <sz val="14"/>
      <name val="Times New Roman"/>
      <family val="1"/>
    </font>
    <font>
      <b/>
      <sz val="12"/>
      <name val="Times New Roman"/>
      <family val="1"/>
    </font>
    <font>
      <b/>
      <sz val="10"/>
      <name val="Times New Roman"/>
      <family val="1"/>
    </font>
    <font>
      <vertAlign val="superscript"/>
      <sz val="10"/>
      <name val="Times New Roman"/>
      <family val="1"/>
    </font>
    <font>
      <sz val="9"/>
      <name val="Times New Roman"/>
      <family val="1"/>
    </font>
    <font>
      <sz val="10"/>
      <color theme="3" tint="0.39997558519241921"/>
      <name val="Arial"/>
      <family val="2"/>
    </font>
    <font>
      <b/>
      <sz val="20"/>
      <name val="Times New Roman"/>
      <family val="1"/>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43"/>
        <bgColor indexed="64"/>
      </patternFill>
    </fill>
    <fill>
      <patternFill patternType="gray0625"/>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65"/>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gray0625">
        <bgColor indexed="29"/>
      </patternFill>
    </fill>
    <fill>
      <patternFill patternType="solid">
        <fgColor indexed="46"/>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FF8080"/>
        <bgColor indexed="64"/>
      </patternFill>
    </fill>
    <fill>
      <patternFill patternType="solid">
        <fgColor rgb="FF99CCFF"/>
        <bgColor indexed="64"/>
      </patternFill>
    </fill>
    <fill>
      <patternFill patternType="solid">
        <fgColor rgb="FFFFFF99"/>
        <bgColor indexed="64"/>
      </patternFill>
    </fill>
    <fill>
      <patternFill patternType="solid">
        <fgColor rgb="FFFF7C80"/>
        <bgColor indexed="64"/>
      </patternFill>
    </fill>
    <fill>
      <patternFill patternType="solid">
        <fgColor rgb="FFCCFFFF"/>
        <bgColor indexed="64"/>
      </patternFill>
    </fill>
    <fill>
      <patternFill patternType="gray0625">
        <bgColor theme="0"/>
      </patternFill>
    </fill>
    <fill>
      <patternFill patternType="solid">
        <fgColor rgb="FFFF999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5" tint="0.3999755851924192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bottom style="double">
        <color indexed="64"/>
      </bottom>
      <diagonal/>
    </border>
    <border>
      <left/>
      <right/>
      <top style="medium">
        <color indexed="64"/>
      </top>
      <bottom/>
      <diagonal/>
    </border>
    <border>
      <left/>
      <right style="double">
        <color indexed="64"/>
      </right>
      <top style="double">
        <color indexed="64"/>
      </top>
      <bottom style="thin">
        <color indexed="64"/>
      </bottom>
      <diagonal/>
    </border>
    <border>
      <left style="thin">
        <color indexed="64"/>
      </left>
      <right/>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6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6" fillId="0" borderId="0" applyFont="0" applyFill="0" applyBorder="0" applyAlignment="0" applyProtection="0"/>
    <xf numFmtId="0" fontId="3" fillId="0" borderId="0"/>
    <xf numFmtId="0" fontId="2" fillId="0" borderId="0"/>
  </cellStyleXfs>
  <cellXfs count="1354">
    <xf numFmtId="0" fontId="0" fillId="0" borderId="0" xfId="0"/>
    <xf numFmtId="0" fontId="7" fillId="0" borderId="10" xfId="0" applyFont="1" applyBorder="1" applyAlignment="1">
      <alignment horizontal="center" vertical="top" wrapText="1"/>
    </xf>
    <xf numFmtId="0" fontId="7" fillId="0" borderId="10" xfId="0" applyFont="1" applyFill="1" applyBorder="1" applyAlignment="1">
      <alignment horizontal="center" vertical="top" wrapText="1"/>
    </xf>
    <xf numFmtId="0" fontId="10" fillId="0" borderId="10" xfId="0" applyFont="1" applyBorder="1" applyAlignment="1">
      <alignment horizontal="left" vertical="top" wrapText="1"/>
    </xf>
    <xf numFmtId="49" fontId="7" fillId="0" borderId="10" xfId="0" applyNumberFormat="1" applyFont="1" applyBorder="1" applyAlignment="1">
      <alignment horizontal="left" vertical="top" wrapText="1"/>
    </xf>
    <xf numFmtId="0" fontId="7" fillId="0" borderId="10" xfId="0" applyFont="1" applyBorder="1" applyAlignment="1">
      <alignment horizontal="left" vertical="top" wrapText="1"/>
    </xf>
    <xf numFmtId="0" fontId="5" fillId="24" borderId="0" xfId="0" applyFont="1" applyFill="1" applyBorder="1" applyAlignment="1"/>
    <xf numFmtId="0" fontId="0" fillId="0" borderId="0" xfId="0" applyAlignment="1">
      <alignment horizontal="left"/>
    </xf>
    <xf numFmtId="0" fontId="0" fillId="0" borderId="0" xfId="0" applyAlignment="1">
      <alignment horizontal="center" vertical="top" wrapText="1"/>
    </xf>
    <xf numFmtId="0" fontId="5" fillId="28" borderId="17" xfId="0" applyFont="1" applyFill="1" applyBorder="1" applyProtection="1">
      <protection hidden="1"/>
    </xf>
    <xf numFmtId="0" fontId="0" fillId="24" borderId="0" xfId="0" applyFill="1" applyProtection="1">
      <protection hidden="1"/>
    </xf>
    <xf numFmtId="0" fontId="4" fillId="24" borderId="0" xfId="0" applyFont="1" applyFill="1" applyProtection="1">
      <protection hidden="1"/>
    </xf>
    <xf numFmtId="0" fontId="0" fillId="32" borderId="0" xfId="0" applyFill="1" applyProtection="1">
      <protection hidden="1"/>
    </xf>
    <xf numFmtId="0" fontId="6" fillId="24" borderId="0" xfId="0" applyFont="1" applyFill="1" applyBorder="1" applyAlignment="1" applyProtection="1">
      <alignment vertical="top"/>
      <protection hidden="1"/>
    </xf>
    <xf numFmtId="0" fontId="0" fillId="0" borderId="0" xfId="0" applyProtection="1">
      <protection hidden="1"/>
    </xf>
    <xf numFmtId="0" fontId="7" fillId="24" borderId="0" xfId="0" applyFont="1" applyFill="1" applyBorder="1" applyAlignment="1" applyProtection="1">
      <alignment horizontal="center"/>
      <protection hidden="1"/>
    </xf>
    <xf numFmtId="0" fontId="11" fillId="24" borderId="0" xfId="0" applyFont="1" applyFill="1" applyBorder="1" applyAlignment="1" applyProtection="1">
      <alignment vertical="top" wrapText="1"/>
      <protection hidden="1"/>
    </xf>
    <xf numFmtId="0" fontId="12" fillId="24" borderId="0" xfId="0" applyFont="1" applyFill="1" applyBorder="1" applyProtection="1">
      <protection hidden="1"/>
    </xf>
    <xf numFmtId="0" fontId="6" fillId="24" borderId="0" xfId="0" applyFont="1" applyFill="1" applyBorder="1" applyProtection="1">
      <protection hidden="1"/>
    </xf>
    <xf numFmtId="0" fontId="36" fillId="24" borderId="0" xfId="0" applyFont="1" applyFill="1" applyProtection="1">
      <protection hidden="1"/>
    </xf>
    <xf numFmtId="0" fontId="0" fillId="38" borderId="0" xfId="0" applyFill="1" applyBorder="1" applyProtection="1">
      <protection hidden="1"/>
    </xf>
    <xf numFmtId="0" fontId="36" fillId="38" borderId="0" xfId="0" applyFont="1" applyFill="1" applyBorder="1" applyProtection="1">
      <protection hidden="1"/>
    </xf>
    <xf numFmtId="0" fontId="35" fillId="38" borderId="0" xfId="0" applyFont="1" applyFill="1" applyProtection="1">
      <protection hidden="1"/>
    </xf>
    <xf numFmtId="0" fontId="35" fillId="38" borderId="0" xfId="0" applyFont="1" applyFill="1" applyBorder="1" applyProtection="1">
      <protection hidden="1"/>
    </xf>
    <xf numFmtId="0" fontId="4" fillId="0" borderId="17" xfId="0" applyFont="1" applyBorder="1" applyAlignment="1" applyProtection="1">
      <protection hidden="1"/>
    </xf>
    <xf numFmtId="0" fontId="4" fillId="0" borderId="16" xfId="0" applyFont="1" applyFill="1" applyBorder="1" applyAlignment="1" applyProtection="1">
      <protection hidden="1"/>
    </xf>
    <xf numFmtId="0" fontId="6" fillId="0" borderId="17" xfId="0" applyFont="1" applyFill="1" applyBorder="1" applyAlignment="1" applyProtection="1">
      <alignment vertical="center" wrapText="1"/>
      <protection hidden="1"/>
    </xf>
    <xf numFmtId="0" fontId="0" fillId="0" borderId="0" xfId="0" applyAlignment="1" applyProtection="1">
      <alignment wrapText="1"/>
      <protection hidden="1"/>
    </xf>
    <xf numFmtId="0" fontId="0" fillId="0" borderId="0" xfId="0" applyAlignment="1" applyProtection="1">
      <alignment horizontal="left"/>
      <protection hidden="1"/>
    </xf>
    <xf numFmtId="0" fontId="0" fillId="0" borderId="0" xfId="0" applyAlignment="1" applyProtection="1">
      <alignment horizontal="center" vertical="top" wrapText="1"/>
      <protection hidden="1"/>
    </xf>
    <xf numFmtId="0" fontId="4" fillId="38" borderId="0" xfId="0" applyFont="1" applyFill="1" applyBorder="1" applyProtection="1">
      <protection hidden="1"/>
    </xf>
    <xf numFmtId="0" fontId="4" fillId="38" borderId="0" xfId="0" applyFont="1" applyFill="1" applyProtection="1">
      <protection hidden="1"/>
    </xf>
    <xf numFmtId="0" fontId="4" fillId="32" borderId="0" xfId="0" applyFont="1" applyFill="1" applyProtection="1">
      <protection hidden="1"/>
    </xf>
    <xf numFmtId="0" fontId="36" fillId="32" borderId="0" xfId="0" applyFont="1" applyFill="1" applyProtection="1">
      <protection hidden="1"/>
    </xf>
    <xf numFmtId="0" fontId="0" fillId="38" borderId="0" xfId="0" applyFill="1" applyProtection="1">
      <protection hidden="1"/>
    </xf>
    <xf numFmtId="0" fontId="35" fillId="38" borderId="0" xfId="0" applyFont="1" applyFill="1" applyAlignment="1" applyProtection="1">
      <alignment horizontal="center" vertical="center"/>
      <protection hidden="1"/>
    </xf>
    <xf numFmtId="0" fontId="0" fillId="24"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0" fillId="38" borderId="0" xfId="0" applyFill="1"/>
    <xf numFmtId="165" fontId="36" fillId="24" borderId="0" xfId="0" applyNumberFormat="1" applyFont="1" applyFill="1" applyProtection="1">
      <protection hidden="1"/>
    </xf>
    <xf numFmtId="0" fontId="36" fillId="38" borderId="0" xfId="0" applyFont="1" applyFill="1" applyProtection="1">
      <protection hidden="1"/>
    </xf>
    <xf numFmtId="0" fontId="35" fillId="0" borderId="0" xfId="0" applyFont="1" applyFill="1" applyBorder="1" applyProtection="1">
      <protection hidden="1"/>
    </xf>
    <xf numFmtId="0" fontId="36" fillId="0" borderId="0" xfId="0" applyFont="1" applyProtection="1">
      <protection hidden="1"/>
    </xf>
    <xf numFmtId="0" fontId="36" fillId="0" borderId="0" xfId="0" applyFont="1"/>
    <xf numFmtId="0" fontId="36" fillId="0" borderId="0" xfId="0" applyFont="1" applyFill="1" applyBorder="1" applyProtection="1">
      <protection hidden="1"/>
    </xf>
    <xf numFmtId="0" fontId="4" fillId="0" borderId="0" xfId="0" applyFont="1" applyFill="1" applyBorder="1" applyProtection="1">
      <protection hidden="1"/>
    </xf>
    <xf numFmtId="0" fontId="6"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protection hidden="1"/>
    </xf>
    <xf numFmtId="0" fontId="4" fillId="38" borderId="0" xfId="0" applyFont="1" applyFill="1" applyBorder="1" applyAlignment="1" applyProtection="1">
      <protection hidden="1"/>
    </xf>
    <xf numFmtId="0" fontId="37" fillId="0" borderId="0" xfId="0" applyFont="1" applyFill="1" applyBorder="1" applyProtection="1">
      <protection hidden="1"/>
    </xf>
    <xf numFmtId="0" fontId="4" fillId="0" borderId="0" xfId="0" applyFont="1" applyFill="1" applyBorder="1" applyAlignment="1" applyProtection="1">
      <protection hidden="1"/>
    </xf>
    <xf numFmtId="0" fontId="4" fillId="24" borderId="0" xfId="0" applyFont="1" applyFill="1"/>
    <xf numFmtId="0" fontId="5" fillId="24" borderId="0" xfId="0" applyFont="1" applyFill="1"/>
    <xf numFmtId="0" fontId="36" fillId="38" borderId="0" xfId="0" applyFont="1" applyFill="1"/>
    <xf numFmtId="0" fontId="4" fillId="0" borderId="0" xfId="0" applyFont="1"/>
    <xf numFmtId="0" fontId="4" fillId="24" borderId="0" xfId="0" applyFont="1" applyFill="1" applyProtection="1"/>
    <xf numFmtId="0" fontId="6" fillId="0" borderId="0" xfId="0" applyFont="1"/>
    <xf numFmtId="0" fontId="6" fillId="0" borderId="0" xfId="0" applyFont="1" applyAlignment="1">
      <alignment horizontal="left"/>
    </xf>
    <xf numFmtId="0" fontId="4" fillId="24" borderId="0" xfId="0" applyFont="1" applyFill="1" applyAlignment="1">
      <alignment horizontal="left"/>
    </xf>
    <xf numFmtId="0" fontId="0" fillId="0" borderId="0" xfId="0" quotePrefix="1"/>
    <xf numFmtId="0" fontId="4" fillId="0" borderId="0" xfId="0" quotePrefix="1" applyFont="1"/>
    <xf numFmtId="0" fontId="4"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10" xfId="0" applyFont="1" applyBorder="1" applyAlignment="1" applyProtection="1">
      <alignment horizontal="center"/>
      <protection hidden="1"/>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16" fontId="4" fillId="0" borderId="0" xfId="0" applyNumberFormat="1" applyFont="1" applyAlignment="1" applyProtection="1">
      <alignment horizontal="center" vertical="center"/>
    </xf>
    <xf numFmtId="0" fontId="4" fillId="0" borderId="16" xfId="0" applyFont="1" applyBorder="1" applyAlignment="1" applyProtection="1">
      <protection hidden="1"/>
    </xf>
    <xf numFmtId="168" fontId="14" fillId="38" borderId="0" xfId="0" applyNumberFormat="1" applyFont="1" applyFill="1" applyBorder="1" applyAlignment="1" applyProtection="1">
      <alignment horizontal="center" vertical="center"/>
      <protection hidden="1"/>
    </xf>
    <xf numFmtId="0" fontId="14" fillId="38" borderId="0" xfId="0" applyFont="1" applyFill="1" applyBorder="1" applyAlignment="1" applyProtection="1">
      <alignment horizontal="center" vertical="center"/>
      <protection hidden="1"/>
    </xf>
    <xf numFmtId="0" fontId="6" fillId="38" borderId="0" xfId="0" applyFont="1" applyFill="1" applyBorder="1" applyAlignment="1" applyProtection="1">
      <alignment horizontal="center" vertical="top"/>
      <protection hidden="1"/>
    </xf>
    <xf numFmtId="168" fontId="14" fillId="38" borderId="35" xfId="0" applyNumberFormat="1" applyFont="1" applyFill="1" applyBorder="1" applyAlignment="1" applyProtection="1">
      <alignment horizontal="center" vertical="center"/>
      <protection hidden="1"/>
    </xf>
    <xf numFmtId="0" fontId="14" fillId="38" borderId="35" xfId="0" applyFont="1" applyFill="1" applyBorder="1" applyAlignment="1" applyProtection="1">
      <alignment horizontal="center" vertical="center"/>
      <protection hidden="1"/>
    </xf>
    <xf numFmtId="0" fontId="5" fillId="26" borderId="13" xfId="0" applyNumberFormat="1" applyFont="1" applyFill="1" applyBorder="1" applyAlignment="1" applyProtection="1">
      <alignment horizontal="center" vertical="center"/>
      <protection hidden="1"/>
    </xf>
    <xf numFmtId="0" fontId="6" fillId="26" borderId="16" xfId="0" applyFont="1" applyFill="1" applyBorder="1" applyAlignment="1" applyProtection="1">
      <alignment horizontal="left" vertical="center"/>
      <protection hidden="1"/>
    </xf>
    <xf numFmtId="0" fontId="6" fillId="26" borderId="11" xfId="0" applyFont="1" applyFill="1" applyBorder="1" applyAlignment="1" applyProtection="1">
      <alignment horizontal="left" vertical="center"/>
      <protection hidden="1"/>
    </xf>
    <xf numFmtId="0" fontId="5" fillId="26" borderId="38" xfId="0" applyNumberFormat="1" applyFont="1" applyFill="1" applyBorder="1" applyAlignment="1" applyProtection="1">
      <alignment horizontal="center" vertical="center"/>
      <protection hidden="1"/>
    </xf>
    <xf numFmtId="0" fontId="36" fillId="0" borderId="0" xfId="0" applyFont="1" applyBorder="1" applyAlignment="1" applyProtection="1">
      <alignment vertical="center"/>
    </xf>
    <xf numFmtId="0" fontId="6"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4" fillId="0" borderId="0" xfId="0" applyFont="1" applyFill="1"/>
    <xf numFmtId="0" fontId="5" fillId="0" borderId="0" xfId="0" applyFont="1" applyFill="1" applyBorder="1" applyAlignment="1"/>
    <xf numFmtId="0" fontId="5" fillId="0" borderId="0" xfId="0" applyFont="1" applyFill="1"/>
    <xf numFmtId="0" fontId="0" fillId="0" borderId="0" xfId="0" applyFill="1" applyAlignment="1">
      <alignment horizontal="left"/>
    </xf>
    <xf numFmtId="0" fontId="0" fillId="0" borderId="0" xfId="0" applyFill="1"/>
    <xf numFmtId="0" fontId="6" fillId="0" borderId="0" xfId="0" applyFont="1" applyFill="1" applyAlignment="1">
      <alignment horizontal="left"/>
    </xf>
    <xf numFmtId="0" fontId="6" fillId="0" borderId="0" xfId="0" applyFont="1" applyFill="1"/>
    <xf numFmtId="0" fontId="4" fillId="0" borderId="0" xfId="0" applyFont="1" applyFill="1" applyAlignment="1">
      <alignment horizontal="left"/>
    </xf>
    <xf numFmtId="0" fontId="4" fillId="0" borderId="0" xfId="0" applyFont="1" applyFill="1" applyBorder="1" applyAlignment="1"/>
    <xf numFmtId="0" fontId="5" fillId="0" borderId="0" xfId="0" applyFont="1" applyFill="1" applyBorder="1" applyAlignment="1">
      <alignment horizontal="left"/>
    </xf>
    <xf numFmtId="0" fontId="0" fillId="0" borderId="0" xfId="0" quotePrefix="1" applyFill="1"/>
    <xf numFmtId="0" fontId="4" fillId="0" borderId="0" xfId="0" quotePrefix="1" applyFont="1" applyFill="1"/>
    <xf numFmtId="0" fontId="9" fillId="0" borderId="0" xfId="0" applyFont="1" applyFill="1" applyBorder="1" applyAlignment="1">
      <alignment horizontal="left"/>
    </xf>
    <xf numFmtId="0" fontId="4" fillId="0" borderId="0" xfId="0" applyFont="1" applyFill="1" applyBorder="1"/>
    <xf numFmtId="0" fontId="4" fillId="38" borderId="0" xfId="0" applyFont="1" applyFill="1"/>
    <xf numFmtId="0" fontId="0" fillId="38" borderId="0" xfId="0" applyFill="1" applyBorder="1"/>
    <xf numFmtId="0" fontId="0" fillId="38" borderId="27" xfId="0" applyFill="1" applyBorder="1"/>
    <xf numFmtId="0" fontId="50" fillId="38" borderId="27" xfId="0" applyFont="1" applyFill="1" applyBorder="1" applyProtection="1">
      <protection hidden="1"/>
    </xf>
    <xf numFmtId="0" fontId="14" fillId="30" borderId="16" xfId="0" applyFont="1" applyFill="1" applyBorder="1" applyAlignment="1" applyProtection="1">
      <alignment horizontal="left" vertical="center" wrapText="1"/>
      <protection hidden="1"/>
    </xf>
    <xf numFmtId="0" fontId="4" fillId="0" borderId="0" xfId="0" applyFont="1" applyAlignment="1">
      <alignment vertical="center"/>
    </xf>
    <xf numFmtId="0" fontId="4" fillId="0" borderId="0" xfId="0" applyFont="1" applyAlignment="1" applyProtection="1">
      <alignment horizontal="left" vertical="center"/>
    </xf>
    <xf numFmtId="0" fontId="0" fillId="38" borderId="49" xfId="0" applyFill="1" applyBorder="1"/>
    <xf numFmtId="0" fontId="0" fillId="0" borderId="0" xfId="0" applyProtection="1"/>
    <xf numFmtId="0" fontId="4" fillId="0" borderId="0" xfId="0" applyFont="1" applyProtection="1"/>
    <xf numFmtId="0" fontId="4" fillId="24" borderId="0" xfId="0" applyFont="1" applyFill="1" applyAlignment="1" applyProtection="1">
      <alignment horizontal="left"/>
    </xf>
    <xf numFmtId="0" fontId="0" fillId="38" borderId="0" xfId="0" applyFill="1" applyAlignment="1">
      <alignment vertical="center"/>
    </xf>
    <xf numFmtId="0" fontId="6" fillId="0" borderId="0" xfId="0" applyFont="1" applyAlignment="1">
      <alignment vertical="center"/>
    </xf>
    <xf numFmtId="0" fontId="0" fillId="0" borderId="0" xfId="0" applyAlignment="1">
      <alignment vertical="center"/>
    </xf>
    <xf numFmtId="0" fontId="6" fillId="39" borderId="72" xfId="0" applyFont="1" applyFill="1" applyBorder="1" applyAlignment="1" applyProtection="1">
      <alignment vertical="center" wrapText="1"/>
    </xf>
    <xf numFmtId="0" fontId="6" fillId="39" borderId="17" xfId="0" applyFont="1" applyFill="1" applyBorder="1" applyAlignment="1" applyProtection="1">
      <alignment vertical="center" wrapText="1"/>
      <protection hidden="1"/>
    </xf>
    <xf numFmtId="0" fontId="15" fillId="25" borderId="13" xfId="0" applyNumberFormat="1" applyFont="1" applyFill="1" applyBorder="1" applyAlignment="1" applyProtection="1">
      <alignment horizontal="center" vertical="center"/>
      <protection locked="0" hidden="1"/>
    </xf>
    <xf numFmtId="0" fontId="6" fillId="0" borderId="41" xfId="0" applyFont="1" applyFill="1" applyBorder="1" applyAlignment="1" applyProtection="1">
      <alignment vertical="center" wrapText="1"/>
      <protection hidden="1"/>
    </xf>
    <xf numFmtId="168" fontId="15" fillId="27" borderId="77" xfId="0" applyNumberFormat="1" applyFont="1" applyFill="1" applyBorder="1" applyAlignment="1" applyProtection="1">
      <alignment horizontal="center"/>
      <protection hidden="1"/>
    </xf>
    <xf numFmtId="168" fontId="14" fillId="27" borderId="36" xfId="0" applyNumberFormat="1" applyFont="1" applyFill="1" applyBorder="1" applyAlignment="1" applyProtection="1">
      <alignment horizontal="center"/>
      <protection hidden="1"/>
    </xf>
    <xf numFmtId="0" fontId="14" fillId="38" borderId="34" xfId="0" applyFont="1" applyFill="1" applyBorder="1" applyAlignment="1" applyProtection="1">
      <alignment horizontal="left"/>
      <protection hidden="1"/>
    </xf>
    <xf numFmtId="0" fontId="6" fillId="27" borderId="39" xfId="0" applyFont="1" applyFill="1" applyBorder="1" applyAlignment="1" applyProtection="1">
      <alignment vertical="center" wrapText="1"/>
      <protection hidden="1"/>
    </xf>
    <xf numFmtId="0" fontId="6" fillId="27" borderId="64" xfId="0" applyFont="1" applyFill="1" applyBorder="1" applyAlignment="1" applyProtection="1">
      <alignment vertical="center"/>
      <protection hidden="1"/>
    </xf>
    <xf numFmtId="0" fontId="6" fillId="27" borderId="25" xfId="0" applyFont="1" applyFill="1" applyBorder="1" applyAlignment="1" applyProtection="1">
      <alignment vertical="center" wrapText="1"/>
      <protection hidden="1"/>
    </xf>
    <xf numFmtId="0" fontId="6" fillId="27" borderId="38" xfId="0" applyFont="1" applyFill="1" applyBorder="1" applyAlignment="1" applyProtection="1">
      <alignment vertical="center"/>
      <protection hidden="1"/>
    </xf>
    <xf numFmtId="0" fontId="4" fillId="27" borderId="17" xfId="0" applyFont="1" applyFill="1" applyBorder="1" applyAlignment="1" applyProtection="1">
      <alignment horizontal="center" vertical="center"/>
      <protection hidden="1"/>
    </xf>
    <xf numFmtId="168" fontId="4" fillId="27" borderId="10" xfId="0" applyNumberFormat="1" applyFont="1" applyFill="1" applyBorder="1" applyAlignment="1" applyProtection="1">
      <alignment horizontal="center" vertical="center" wrapText="1"/>
      <protection hidden="1"/>
    </xf>
    <xf numFmtId="169" fontId="6" fillId="38" borderId="0" xfId="0" quotePrefix="1" applyNumberFormat="1" applyFont="1" applyFill="1" applyBorder="1" applyAlignment="1" applyProtection="1">
      <alignment horizontal="center" vertical="top" wrapText="1"/>
      <protection hidden="1"/>
    </xf>
    <xf numFmtId="0" fontId="4" fillId="0" borderId="16" xfId="0" applyFont="1" applyFill="1" applyBorder="1" applyAlignment="1" applyProtection="1">
      <protection hidden="1"/>
    </xf>
    <xf numFmtId="0" fontId="4" fillId="0" borderId="10" xfId="0" applyFont="1" applyBorder="1" applyAlignment="1" applyProtection="1">
      <alignment horizontal="center"/>
      <protection hidden="1"/>
    </xf>
    <xf numFmtId="0" fontId="4" fillId="0" borderId="16" xfId="0" applyFont="1" applyFill="1" applyBorder="1" applyAlignment="1" applyProtection="1">
      <protection hidden="1"/>
    </xf>
    <xf numFmtId="0" fontId="4" fillId="0" borderId="10" xfId="0" applyFont="1" applyBorder="1" applyAlignment="1" applyProtection="1">
      <alignment horizontal="center"/>
      <protection hidden="1"/>
    </xf>
    <xf numFmtId="164" fontId="44" fillId="24" borderId="0" xfId="0" applyNumberFormat="1" applyFont="1" applyFill="1" applyBorder="1" applyAlignment="1" applyProtection="1">
      <alignment horizontal="center" vertical="top"/>
      <protection hidden="1"/>
    </xf>
    <xf numFmtId="0" fontId="55" fillId="24" borderId="0" xfId="0" applyFont="1" applyFill="1" applyBorder="1" applyProtection="1">
      <protection hidden="1"/>
    </xf>
    <xf numFmtId="0" fontId="55" fillId="24" borderId="0" xfId="0" applyFont="1" applyFill="1" applyProtection="1">
      <protection hidden="1"/>
    </xf>
    <xf numFmtId="0" fontId="44" fillId="24" borderId="0" xfId="0" applyFont="1" applyFill="1" applyBorder="1" applyAlignment="1" applyProtection="1">
      <alignment horizontal="center" vertical="center"/>
      <protection hidden="1"/>
    </xf>
    <xf numFmtId="0" fontId="55" fillId="24" borderId="0" xfId="0" applyFont="1" applyFill="1" applyBorder="1" applyAlignment="1" applyProtection="1">
      <alignment vertical="center"/>
      <protection hidden="1"/>
    </xf>
    <xf numFmtId="0" fontId="55" fillId="24" borderId="0" xfId="0" applyFont="1" applyFill="1" applyAlignment="1" applyProtection="1">
      <alignment vertical="center"/>
      <protection hidden="1"/>
    </xf>
    <xf numFmtId="0" fontId="56" fillId="24" borderId="0" xfId="0" applyFont="1" applyFill="1" applyBorder="1" applyAlignment="1" applyProtection="1">
      <alignment horizontal="left" vertical="center" wrapText="1"/>
      <protection hidden="1"/>
    </xf>
    <xf numFmtId="0" fontId="56" fillId="24" borderId="0" xfId="0" applyFont="1" applyFill="1" applyBorder="1" applyAlignment="1" applyProtection="1">
      <alignment horizontal="center" vertical="center" wrapText="1"/>
      <protection hidden="1"/>
    </xf>
    <xf numFmtId="0" fontId="55" fillId="24" borderId="0" xfId="0" applyFont="1" applyFill="1" applyBorder="1" applyAlignment="1" applyProtection="1">
      <alignment horizontal="center" vertical="top" wrapText="1"/>
      <protection hidden="1"/>
    </xf>
    <xf numFmtId="0" fontId="57" fillId="24" borderId="0" xfId="0" applyFont="1" applyFill="1" applyBorder="1" applyAlignment="1" applyProtection="1">
      <alignment horizontal="center" vertical="top" wrapText="1"/>
      <protection hidden="1"/>
    </xf>
    <xf numFmtId="0" fontId="59" fillId="28" borderId="17" xfId="0" applyFont="1" applyFill="1" applyBorder="1" applyProtection="1">
      <protection hidden="1"/>
    </xf>
    <xf numFmtId="0" fontId="59" fillId="24" borderId="0" xfId="0" applyFont="1" applyFill="1" applyBorder="1" applyAlignment="1" applyProtection="1">
      <protection hidden="1"/>
    </xf>
    <xf numFmtId="0" fontId="55" fillId="24" borderId="0" xfId="0" applyFont="1" applyFill="1" applyBorder="1" applyAlignment="1" applyProtection="1">
      <protection hidden="1"/>
    </xf>
    <xf numFmtId="9" fontId="59" fillId="24" borderId="0" xfId="0" applyNumberFormat="1" applyFont="1" applyFill="1" applyBorder="1" applyAlignment="1" applyProtection="1">
      <alignment horizontal="center" vertical="center"/>
      <protection hidden="1"/>
    </xf>
    <xf numFmtId="0" fontId="56" fillId="24" borderId="0" xfId="0" applyNumberFormat="1" applyFont="1" applyFill="1" applyBorder="1" applyAlignment="1" applyProtection="1">
      <alignment horizontal="center" vertical="center"/>
      <protection hidden="1"/>
    </xf>
    <xf numFmtId="0" fontId="55" fillId="38" borderId="0" xfId="0" applyFont="1" applyFill="1" applyBorder="1" applyProtection="1">
      <protection hidden="1"/>
    </xf>
    <xf numFmtId="0" fontId="59" fillId="24" borderId="0" xfId="0" applyFont="1" applyFill="1" applyBorder="1" applyAlignment="1" applyProtection="1">
      <alignment horizontal="center" vertical="center"/>
      <protection hidden="1"/>
    </xf>
    <xf numFmtId="0" fontId="56" fillId="24" borderId="0" xfId="0" applyFont="1" applyFill="1" applyBorder="1" applyAlignment="1" applyProtection="1">
      <alignment horizontal="center" vertical="center"/>
      <protection hidden="1"/>
    </xf>
    <xf numFmtId="0" fontId="55" fillId="0" borderId="0" xfId="0" applyFont="1"/>
    <xf numFmtId="0" fontId="57" fillId="24" borderId="0" xfId="0" applyFont="1" applyFill="1" applyBorder="1" applyAlignment="1" applyProtection="1">
      <alignment horizontal="left" vertical="top"/>
      <protection hidden="1"/>
    </xf>
    <xf numFmtId="0" fontId="59" fillId="24" borderId="0" xfId="0" applyFont="1" applyFill="1" applyBorder="1" applyAlignment="1" applyProtection="1">
      <alignment horizontal="center"/>
      <protection hidden="1"/>
    </xf>
    <xf numFmtId="0" fontId="59" fillId="24" borderId="0" xfId="0" applyNumberFormat="1" applyFont="1" applyFill="1" applyBorder="1" applyAlignment="1" applyProtection="1">
      <alignment horizontal="center" vertical="center"/>
      <protection hidden="1"/>
    </xf>
    <xf numFmtId="0" fontId="59" fillId="24" borderId="0" xfId="0" applyNumberFormat="1" applyFont="1" applyFill="1" applyBorder="1" applyAlignment="1" applyProtection="1">
      <alignment horizontal="center" vertical="center"/>
    </xf>
    <xf numFmtId="0" fontId="59" fillId="24" borderId="0" xfId="0" applyFont="1" applyFill="1" applyBorder="1" applyAlignment="1" applyProtection="1">
      <alignment horizontal="center" vertical="center"/>
    </xf>
    <xf numFmtId="0" fontId="55" fillId="24" borderId="0" xfId="0" applyFont="1" applyFill="1" applyBorder="1" applyProtection="1"/>
    <xf numFmtId="0" fontId="56" fillId="24" borderId="0" xfId="0" applyFont="1" applyFill="1" applyBorder="1" applyAlignment="1" applyProtection="1">
      <alignment horizontal="center" vertical="center"/>
    </xf>
    <xf numFmtId="9" fontId="59" fillId="24" borderId="0" xfId="0" applyNumberFormat="1" applyFont="1" applyFill="1" applyBorder="1" applyAlignment="1" applyProtection="1">
      <alignment horizontal="center" vertical="center"/>
    </xf>
    <xf numFmtId="0" fontId="57" fillId="24" borderId="0" xfId="0" applyFont="1" applyFill="1" applyBorder="1" applyAlignment="1" applyProtection="1">
      <alignment horizontal="center" vertical="top"/>
      <protection hidden="1"/>
    </xf>
    <xf numFmtId="0" fontId="55" fillId="24" borderId="0" xfId="0" applyFont="1" applyFill="1" applyBorder="1" applyAlignment="1" applyProtection="1">
      <alignment horizontal="center"/>
      <protection hidden="1"/>
    </xf>
    <xf numFmtId="0" fontId="55" fillId="38" borderId="15" xfId="0" applyFont="1" applyFill="1" applyBorder="1" applyAlignment="1" applyProtection="1">
      <protection hidden="1"/>
    </xf>
    <xf numFmtId="0" fontId="61" fillId="38" borderId="15" xfId="0" applyFont="1" applyFill="1" applyBorder="1" applyAlignment="1" applyProtection="1">
      <protection hidden="1"/>
    </xf>
    <xf numFmtId="0" fontId="55" fillId="38" borderId="0" xfId="0" applyFont="1" applyFill="1" applyBorder="1" applyAlignment="1" applyProtection="1">
      <protection hidden="1"/>
    </xf>
    <xf numFmtId="0" fontId="55" fillId="38" borderId="15" xfId="0" applyFont="1" applyFill="1" applyBorder="1" applyProtection="1">
      <protection hidden="1"/>
    </xf>
    <xf numFmtId="0" fontId="55" fillId="38" borderId="0" xfId="0" applyFont="1" applyFill="1" applyBorder="1" applyAlignment="1" applyProtection="1">
      <alignment horizontal="center"/>
      <protection hidden="1"/>
    </xf>
    <xf numFmtId="0" fontId="56" fillId="24" borderId="0" xfId="0" applyFont="1" applyFill="1" applyBorder="1" applyAlignment="1" applyProtection="1">
      <alignment horizontal="center" vertical="top"/>
      <protection hidden="1"/>
    </xf>
    <xf numFmtId="0" fontId="62" fillId="24" borderId="0" xfId="0" applyFont="1" applyFill="1" applyBorder="1" applyAlignment="1" applyProtection="1">
      <alignment vertical="top" wrapText="1"/>
      <protection hidden="1"/>
    </xf>
    <xf numFmtId="0" fontId="56" fillId="27" borderId="31" xfId="0" applyFont="1" applyFill="1" applyBorder="1" applyAlignment="1" applyProtection="1">
      <alignment horizontal="center" vertical="top"/>
      <protection hidden="1"/>
    </xf>
    <xf numFmtId="0" fontId="56" fillId="27" borderId="10" xfId="0" applyFont="1" applyFill="1" applyBorder="1" applyAlignment="1" applyProtection="1">
      <alignment horizontal="center" vertical="top" wrapText="1"/>
      <protection hidden="1"/>
    </xf>
    <xf numFmtId="0" fontId="56" fillId="27" borderId="13" xfId="0" applyFont="1" applyFill="1" applyBorder="1" applyAlignment="1" applyProtection="1">
      <alignment horizontal="center" vertical="top"/>
      <protection hidden="1"/>
    </xf>
    <xf numFmtId="0" fontId="44" fillId="0" borderId="66" xfId="0" applyFont="1" applyFill="1" applyBorder="1" applyAlignment="1" applyProtection="1">
      <alignment horizontal="center" vertical="center"/>
      <protection hidden="1"/>
    </xf>
    <xf numFmtId="0" fontId="44" fillId="0" borderId="22" xfId="0" applyFont="1" applyFill="1" applyBorder="1" applyAlignment="1" applyProtection="1">
      <alignment horizontal="center" vertical="center"/>
      <protection hidden="1"/>
    </xf>
    <xf numFmtId="0" fontId="44" fillId="0" borderId="14" xfId="0" applyFont="1" applyFill="1" applyBorder="1" applyAlignment="1" applyProtection="1">
      <alignment horizontal="center" vertical="center"/>
      <protection hidden="1"/>
    </xf>
    <xf numFmtId="0" fontId="55" fillId="38" borderId="27" xfId="0" applyFont="1" applyFill="1" applyBorder="1" applyProtection="1">
      <protection hidden="1"/>
    </xf>
    <xf numFmtId="0" fontId="55" fillId="38" borderId="0" xfId="0" applyFont="1" applyFill="1" applyProtection="1">
      <protection hidden="1"/>
    </xf>
    <xf numFmtId="0" fontId="57" fillId="24" borderId="0" xfId="0" applyFont="1" applyFill="1" applyBorder="1" applyAlignment="1" applyProtection="1">
      <alignment horizontal="center" vertical="center" wrapText="1"/>
      <protection hidden="1"/>
    </xf>
    <xf numFmtId="0" fontId="55" fillId="24" borderId="0" xfId="0" applyFont="1" applyFill="1" applyBorder="1" applyAlignment="1" applyProtection="1">
      <alignment horizontal="center" vertical="center"/>
      <protection hidden="1"/>
    </xf>
    <xf numFmtId="0" fontId="55" fillId="0" borderId="0" xfId="0" applyFont="1" applyProtection="1">
      <protection hidden="1"/>
    </xf>
    <xf numFmtId="0" fontId="55" fillId="38" borderId="0" xfId="0" applyFont="1" applyFill="1"/>
    <xf numFmtId="0" fontId="44" fillId="38" borderId="0" xfId="0" applyFont="1" applyFill="1" applyBorder="1" applyAlignment="1" applyProtection="1">
      <alignment horizontal="center" vertical="top" wrapText="1"/>
      <protection hidden="1"/>
    </xf>
    <xf numFmtId="0" fontId="55" fillId="0" borderId="0" xfId="0" applyFont="1" applyFill="1" applyProtection="1">
      <protection hidden="1"/>
    </xf>
    <xf numFmtId="0" fontId="55" fillId="0" borderId="0" xfId="0" applyFont="1" applyFill="1" applyAlignment="1" applyProtection="1">
      <alignment vertical="center"/>
      <protection hidden="1"/>
    </xf>
    <xf numFmtId="0" fontId="55" fillId="0" borderId="0" xfId="0" applyFont="1" applyFill="1" applyAlignment="1" applyProtection="1">
      <alignment horizontal="right"/>
      <protection hidden="1"/>
    </xf>
    <xf numFmtId="0" fontId="6" fillId="26" borderId="16" xfId="0" applyFont="1" applyFill="1" applyBorder="1" applyAlignment="1" applyProtection="1">
      <alignment horizontal="left" vertical="center"/>
      <protection hidden="1"/>
    </xf>
    <xf numFmtId="0" fontId="36" fillId="0" borderId="0" xfId="0" applyFont="1" applyFill="1"/>
    <xf numFmtId="0" fontId="4" fillId="48" borderId="0" xfId="0" applyFont="1" applyFill="1" applyAlignment="1" applyProtection="1">
      <alignment horizontal="center" vertical="center"/>
    </xf>
    <xf numFmtId="0" fontId="6" fillId="48" borderId="0" xfId="0" applyFont="1" applyFill="1" applyAlignment="1" applyProtection="1">
      <alignment horizontal="center" vertical="center"/>
    </xf>
    <xf numFmtId="0" fontId="4" fillId="48" borderId="0" xfId="0" applyFont="1" applyFill="1" applyAlignment="1" applyProtection="1">
      <alignment horizontal="center" vertical="center"/>
      <protection locked="0"/>
    </xf>
    <xf numFmtId="0" fontId="45" fillId="48" borderId="0" xfId="0" applyFont="1" applyFill="1" applyAlignment="1" applyProtection="1">
      <alignment horizontal="center" vertical="center"/>
    </xf>
    <xf numFmtId="0" fontId="46" fillId="48" borderId="0" xfId="0" applyNumberFormat="1" applyFont="1" applyFill="1" applyBorder="1" applyAlignment="1" applyProtection="1">
      <alignment horizontal="center" vertical="center"/>
      <protection hidden="1"/>
    </xf>
    <xf numFmtId="0" fontId="49" fillId="48" borderId="0" xfId="0" applyFont="1" applyFill="1" applyAlignment="1" applyProtection="1">
      <alignment horizontal="center" vertical="center"/>
      <protection locked="0"/>
    </xf>
    <xf numFmtId="0" fontId="49" fillId="48" borderId="0" xfId="0" applyFont="1" applyFill="1" applyAlignment="1" applyProtection="1">
      <alignment horizontal="center" vertical="center"/>
    </xf>
    <xf numFmtId="0" fontId="47" fillId="48" borderId="0" xfId="0" applyFont="1" applyFill="1" applyAlignment="1" applyProtection="1">
      <alignment horizontal="center" vertical="center"/>
    </xf>
    <xf numFmtId="168" fontId="5" fillId="48" borderId="0" xfId="0" applyNumberFormat="1" applyFont="1" applyFill="1" applyBorder="1" applyAlignment="1" applyProtection="1">
      <alignment horizontal="center" vertical="center"/>
      <protection hidden="1"/>
    </xf>
    <xf numFmtId="0" fontId="6" fillId="49" borderId="0" xfId="0" applyFont="1" applyFill="1" applyAlignment="1">
      <alignment horizontal="center" vertical="center"/>
    </xf>
    <xf numFmtId="0" fontId="4" fillId="49" borderId="0" xfId="0" applyFont="1" applyFill="1" applyAlignment="1">
      <alignment horizontal="center" vertical="center"/>
    </xf>
    <xf numFmtId="0" fontId="4" fillId="49" borderId="0" xfId="0" applyFont="1" applyFill="1" applyAlignment="1">
      <alignment horizontal="left" vertical="center"/>
    </xf>
    <xf numFmtId="0" fontId="4" fillId="49" borderId="0" xfId="0" applyFont="1" applyFill="1" applyAlignment="1" applyProtection="1">
      <alignment horizontal="center" vertical="center"/>
    </xf>
    <xf numFmtId="0" fontId="4" fillId="49" borderId="0" xfId="0" applyFont="1" applyFill="1" applyAlignment="1" applyProtection="1">
      <alignment horizontal="center" vertical="center"/>
      <protection locked="0"/>
    </xf>
    <xf numFmtId="0" fontId="63" fillId="48" borderId="0" xfId="0" applyFont="1" applyFill="1" applyBorder="1" applyAlignment="1" applyProtection="1">
      <alignment horizontal="center" vertical="center"/>
      <protection hidden="1"/>
    </xf>
    <xf numFmtId="0" fontId="63" fillId="49" borderId="0" xfId="0" applyFont="1" applyFill="1" applyBorder="1" applyAlignment="1" applyProtection="1">
      <alignment horizontal="center" vertical="center"/>
      <protection hidden="1"/>
    </xf>
    <xf numFmtId="0" fontId="47" fillId="49" borderId="0" xfId="0" applyFont="1" applyFill="1" applyAlignment="1" applyProtection="1">
      <alignment horizontal="center" vertical="center"/>
    </xf>
    <xf numFmtId="0" fontId="49" fillId="49" borderId="0" xfId="0" applyFont="1" applyFill="1" applyAlignment="1" applyProtection="1">
      <alignment horizontal="center" vertical="center"/>
    </xf>
    <xf numFmtId="168" fontId="5" fillId="49" borderId="0" xfId="0" applyNumberFormat="1" applyFont="1" applyFill="1" applyBorder="1" applyAlignment="1" applyProtection="1">
      <alignment horizontal="center" vertical="center"/>
      <protection hidden="1"/>
    </xf>
    <xf numFmtId="0" fontId="0" fillId="0" borderId="20" xfId="0" applyBorder="1" applyProtection="1"/>
    <xf numFmtId="0" fontId="0" fillId="0" borderId="30" xfId="0" applyBorder="1" applyProtection="1"/>
    <xf numFmtId="0" fontId="52" fillId="0" borderId="20" xfId="0" applyFont="1" applyBorder="1" applyAlignment="1" applyProtection="1">
      <alignment horizontal="center" vertical="center"/>
    </xf>
    <xf numFmtId="0" fontId="52" fillId="0" borderId="30" xfId="0" applyFont="1" applyBorder="1" applyAlignment="1" applyProtection="1">
      <alignment horizontal="center" vertical="center"/>
    </xf>
    <xf numFmtId="0" fontId="45" fillId="0" borderId="20" xfId="0" applyFont="1" applyBorder="1" applyAlignment="1" applyProtection="1">
      <alignment horizontal="center" vertical="center"/>
    </xf>
    <xf numFmtId="0" fontId="45" fillId="0" borderId="30" xfId="0" applyFont="1" applyBorder="1" applyAlignment="1" applyProtection="1">
      <alignment horizontal="center" vertical="center"/>
    </xf>
    <xf numFmtId="0" fontId="48" fillId="48" borderId="0" xfId="0" applyFont="1" applyFill="1" applyBorder="1" applyAlignment="1" applyProtection="1">
      <alignment horizontal="center"/>
      <protection hidden="1"/>
    </xf>
    <xf numFmtId="0" fontId="48" fillId="49" borderId="0" xfId="0" applyFont="1" applyFill="1" applyBorder="1" applyAlignment="1" applyProtection="1">
      <alignment horizontal="center"/>
      <protection hidden="1"/>
    </xf>
    <xf numFmtId="0" fontId="47" fillId="48" borderId="0" xfId="0" applyFont="1" applyFill="1" applyBorder="1" applyAlignment="1" applyProtection="1">
      <alignment horizontal="center" vertical="center"/>
    </xf>
    <xf numFmtId="0" fontId="47" fillId="49" borderId="0" xfId="0" applyFont="1" applyFill="1" applyBorder="1" applyAlignment="1" applyProtection="1">
      <alignment horizontal="center" vertical="center"/>
    </xf>
    <xf numFmtId="0" fontId="4" fillId="49" borderId="0" xfId="0" applyFont="1" applyFill="1" applyBorder="1" applyAlignment="1" applyProtection="1">
      <alignment horizontal="center" vertical="center"/>
    </xf>
    <xf numFmtId="0" fontId="6" fillId="49" borderId="0" xfId="0" applyFont="1" applyFill="1" applyAlignment="1" applyProtection="1">
      <alignment horizontal="center" vertical="center"/>
    </xf>
    <xf numFmtId="0" fontId="55" fillId="38" borderId="0" xfId="0" applyFont="1" applyFill="1" applyAlignment="1">
      <alignment horizontal="center"/>
    </xf>
    <xf numFmtId="0" fontId="4" fillId="0" borderId="0" xfId="0" applyFont="1" applyProtection="1">
      <protection hidden="1"/>
    </xf>
    <xf numFmtId="0" fontId="55" fillId="0" borderId="10" xfId="0" applyFont="1" applyBorder="1" applyAlignment="1" applyProtection="1">
      <alignment horizontal="center" vertical="top" wrapText="1"/>
      <protection hidden="1"/>
    </xf>
    <xf numFmtId="0" fontId="56" fillId="27" borderId="10" xfId="0" applyFont="1" applyFill="1" applyBorder="1" applyAlignment="1" applyProtection="1">
      <alignment horizontal="center" vertical="center"/>
      <protection hidden="1"/>
    </xf>
    <xf numFmtId="0" fontId="55" fillId="0" borderId="12" xfId="0" applyFont="1" applyBorder="1" applyAlignment="1" applyProtection="1">
      <alignment horizontal="center" vertical="top" wrapText="1"/>
      <protection hidden="1"/>
    </xf>
    <xf numFmtId="0" fontId="55" fillId="0" borderId="10" xfId="0" applyFont="1" applyFill="1" applyBorder="1" applyAlignment="1" applyProtection="1">
      <alignment horizontal="center" vertical="top" wrapText="1"/>
      <protection hidden="1"/>
    </xf>
    <xf numFmtId="166" fontId="56" fillId="27" borderId="10" xfId="0" applyNumberFormat="1" applyFont="1" applyFill="1" applyBorder="1" applyAlignment="1" applyProtection="1">
      <alignment horizontal="center" vertical="center"/>
      <protection hidden="1"/>
    </xf>
    <xf numFmtId="0" fontId="55" fillId="0" borderId="12" xfId="0" applyFont="1" applyBorder="1" applyAlignment="1" applyProtection="1">
      <alignment vertical="top" wrapText="1"/>
      <protection hidden="1"/>
    </xf>
    <xf numFmtId="0" fontId="56" fillId="24" borderId="0" xfId="0" applyFont="1" applyFill="1" applyBorder="1" applyAlignment="1" applyProtection="1">
      <alignment horizontal="center"/>
      <protection hidden="1"/>
    </xf>
    <xf numFmtId="0" fontId="56" fillId="38" borderId="0" xfId="0" applyFont="1" applyFill="1" applyBorder="1" applyAlignment="1" applyProtection="1">
      <alignment wrapText="1"/>
      <protection hidden="1"/>
    </xf>
    <xf numFmtId="165" fontId="56" fillId="38" borderId="0" xfId="0" applyNumberFormat="1" applyFont="1" applyFill="1" applyBorder="1" applyAlignment="1" applyProtection="1">
      <alignment vertical="center"/>
      <protection hidden="1"/>
    </xf>
    <xf numFmtId="0" fontId="55" fillId="24" borderId="26" xfId="0" applyFont="1" applyFill="1" applyBorder="1" applyProtection="1">
      <protection hidden="1"/>
    </xf>
    <xf numFmtId="0" fontId="61" fillId="32" borderId="26" xfId="0" applyFont="1" applyFill="1" applyBorder="1" applyProtection="1">
      <protection hidden="1"/>
    </xf>
    <xf numFmtId="0" fontId="55" fillId="32" borderId="27" xfId="0" applyFont="1" applyFill="1" applyBorder="1" applyAlignment="1" applyProtection="1">
      <protection hidden="1"/>
    </xf>
    <xf numFmtId="0" fontId="55" fillId="38" borderId="27" xfId="0" applyFont="1" applyFill="1" applyBorder="1" applyAlignment="1" applyProtection="1">
      <protection hidden="1"/>
    </xf>
    <xf numFmtId="0" fontId="56" fillId="27" borderId="10" xfId="0" applyFont="1" applyFill="1" applyBorder="1" applyAlignment="1" applyProtection="1">
      <alignment horizontal="center" vertical="center" wrapText="1"/>
      <protection hidden="1"/>
    </xf>
    <xf numFmtId="0" fontId="44" fillId="31" borderId="10" xfId="0" applyFont="1" applyFill="1" applyBorder="1" applyAlignment="1" applyProtection="1">
      <alignment horizontal="center" vertical="center"/>
      <protection hidden="1"/>
    </xf>
    <xf numFmtId="0" fontId="44" fillId="31" borderId="12" xfId="0" applyFont="1" applyFill="1" applyBorder="1" applyAlignment="1" applyProtection="1">
      <alignment horizontal="center" vertical="center"/>
      <protection hidden="1"/>
    </xf>
    <xf numFmtId="0" fontId="56" fillId="27" borderId="12" xfId="0" applyFont="1" applyFill="1" applyBorder="1" applyAlignment="1" applyProtection="1">
      <alignment horizontal="center" vertical="center" wrapText="1"/>
      <protection hidden="1"/>
    </xf>
    <xf numFmtId="0" fontId="55" fillId="32" borderId="0" xfId="0" applyFont="1" applyFill="1" applyBorder="1" applyProtection="1">
      <protection hidden="1"/>
    </xf>
    <xf numFmtId="0" fontId="55" fillId="38" borderId="0" xfId="0" applyFont="1" applyFill="1" applyBorder="1" applyAlignment="1" applyProtection="1">
      <alignment horizontal="center" vertical="center"/>
      <protection hidden="1"/>
    </xf>
    <xf numFmtId="0" fontId="55" fillId="38" borderId="0" xfId="0" applyFont="1" applyFill="1" applyBorder="1" applyAlignment="1" applyProtection="1">
      <alignment horizontal="left"/>
      <protection hidden="1"/>
    </xf>
    <xf numFmtId="0" fontId="56" fillId="38" borderId="0" xfId="0" applyFont="1" applyFill="1" applyBorder="1" applyProtection="1">
      <protection hidden="1"/>
    </xf>
    <xf numFmtId="0" fontId="55" fillId="32" borderId="10" xfId="0" applyFont="1" applyFill="1" applyBorder="1" applyAlignment="1" applyProtection="1">
      <alignment horizontal="center"/>
      <protection hidden="1"/>
    </xf>
    <xf numFmtId="0" fontId="44" fillId="38" borderId="0" xfId="0" applyFont="1" applyFill="1" applyBorder="1" applyAlignment="1" applyProtection="1">
      <alignment horizontal="center"/>
      <protection hidden="1"/>
    </xf>
    <xf numFmtId="0" fontId="61" fillId="38" borderId="0" xfId="0" applyFont="1" applyFill="1" applyBorder="1" applyAlignment="1" applyProtection="1">
      <alignment horizontal="center" vertical="center"/>
      <protection locked="0"/>
    </xf>
    <xf numFmtId="0" fontId="55" fillId="32" borderId="19" xfId="0" applyFont="1" applyFill="1" applyBorder="1" applyAlignment="1" applyProtection="1">
      <alignment horizontal="center"/>
      <protection hidden="1"/>
    </xf>
    <xf numFmtId="0" fontId="55" fillId="32" borderId="0" xfId="0" applyFont="1" applyFill="1" applyProtection="1">
      <protection hidden="1"/>
    </xf>
    <xf numFmtId="0" fontId="56" fillId="38" borderId="27" xfId="0" applyFont="1" applyFill="1" applyBorder="1" applyAlignment="1" applyProtection="1">
      <alignment wrapText="1"/>
      <protection hidden="1"/>
    </xf>
    <xf numFmtId="0" fontId="55" fillId="38" borderId="0" xfId="0" applyFont="1" applyFill="1" applyAlignment="1" applyProtection="1">
      <protection hidden="1"/>
    </xf>
    <xf numFmtId="0" fontId="56" fillId="27" borderId="25" xfId="0" applyFont="1" applyFill="1" applyBorder="1" applyAlignment="1" applyProtection="1">
      <alignment horizontal="center" vertical="center" wrapText="1"/>
      <protection hidden="1"/>
    </xf>
    <xf numFmtId="0" fontId="55" fillId="0" borderId="0" xfId="0" applyFont="1" applyFill="1" applyBorder="1" applyProtection="1">
      <protection hidden="1"/>
    </xf>
    <xf numFmtId="170" fontId="44" fillId="27" borderId="10" xfId="0" applyNumberFormat="1" applyFont="1" applyFill="1" applyBorder="1" applyAlignment="1" applyProtection="1">
      <alignment horizontal="center" vertical="center"/>
      <protection hidden="1"/>
    </xf>
    <xf numFmtId="0" fontId="55" fillId="24" borderId="30" xfId="0" applyFont="1" applyFill="1" applyBorder="1" applyAlignment="1" applyProtection="1">
      <alignment horizontal="center" vertical="center"/>
      <protection hidden="1"/>
    </xf>
    <xf numFmtId="0" fontId="63" fillId="24" borderId="0" xfId="0" applyFont="1" applyFill="1" applyBorder="1" applyAlignment="1" applyProtection="1">
      <alignment horizontal="center"/>
      <protection hidden="1"/>
    </xf>
    <xf numFmtId="0" fontId="36" fillId="24" borderId="0" xfId="0" applyFont="1" applyFill="1" applyProtection="1">
      <protection locked="0" hidden="1"/>
    </xf>
    <xf numFmtId="0" fontId="0" fillId="38" borderId="0" xfId="0" applyFill="1" applyAlignment="1" applyProtection="1">
      <alignment horizontal="center" vertical="center"/>
      <protection hidden="1"/>
    </xf>
    <xf numFmtId="0" fontId="62" fillId="27" borderId="10" xfId="0" applyFont="1" applyFill="1" applyBorder="1" applyAlignment="1" applyProtection="1">
      <alignment horizontal="center" vertical="center"/>
      <protection hidden="1"/>
    </xf>
    <xf numFmtId="0" fontId="44" fillId="27" borderId="10" xfId="0" applyFont="1" applyFill="1" applyBorder="1" applyAlignment="1" applyProtection="1">
      <alignment horizontal="center" vertical="center"/>
      <protection hidden="1"/>
    </xf>
    <xf numFmtId="0" fontId="55" fillId="38" borderId="0" xfId="0" applyFont="1" applyFill="1" applyBorder="1" applyAlignment="1" applyProtection="1">
      <alignment vertical="top"/>
      <protection hidden="1"/>
    </xf>
    <xf numFmtId="0" fontId="52"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6" fillId="38" borderId="0" xfId="0" applyFont="1" applyFill="1" applyBorder="1" applyAlignment="1" applyProtection="1">
      <alignment horizontal="center" vertical="top" wrapText="1"/>
      <protection hidden="1"/>
    </xf>
    <xf numFmtId="0" fontId="56" fillId="38" borderId="0" xfId="0" applyFont="1" applyFill="1" applyBorder="1" applyAlignment="1" applyProtection="1">
      <alignment horizontal="center" vertical="center"/>
      <protection hidden="1"/>
    </xf>
    <xf numFmtId="0" fontId="56" fillId="38" borderId="0" xfId="0" applyFont="1" applyFill="1" applyBorder="1" applyAlignment="1" applyProtection="1">
      <alignment horizontal="center" vertical="center" wrapText="1"/>
      <protection hidden="1"/>
    </xf>
    <xf numFmtId="0" fontId="44" fillId="38" borderId="0" xfId="0" applyFont="1" applyFill="1" applyBorder="1" applyAlignment="1" applyProtection="1">
      <alignment horizontal="center" vertical="center"/>
      <protection hidden="1"/>
    </xf>
    <xf numFmtId="0" fontId="37" fillId="38" borderId="0" xfId="0" applyFont="1" applyFill="1" applyBorder="1" applyAlignment="1" applyProtection="1">
      <alignment horizontal="center" vertical="center"/>
      <protection hidden="1"/>
    </xf>
    <xf numFmtId="0" fontId="62" fillId="38" borderId="0" xfId="0" applyFont="1" applyFill="1" applyBorder="1" applyAlignment="1" applyProtection="1">
      <alignment horizontal="center" vertical="center"/>
      <protection hidden="1"/>
    </xf>
    <xf numFmtId="0" fontId="6" fillId="38" borderId="0" xfId="0" applyFont="1" applyFill="1" applyBorder="1" applyAlignment="1" applyProtection="1">
      <alignment horizontal="center" vertical="center"/>
      <protection hidden="1"/>
    </xf>
    <xf numFmtId="0" fontId="42" fillId="38" borderId="0" xfId="0" applyFont="1" applyFill="1" applyBorder="1" applyAlignment="1" applyProtection="1">
      <alignment horizontal="center"/>
      <protection hidden="1"/>
    </xf>
    <xf numFmtId="0" fontId="6" fillId="38" borderId="0" xfId="0" applyFont="1" applyFill="1" applyBorder="1" applyAlignment="1" applyProtection="1">
      <alignment horizontal="center"/>
      <protection hidden="1"/>
    </xf>
    <xf numFmtId="0" fontId="4" fillId="38" borderId="0" xfId="0" applyFont="1" applyFill="1" applyBorder="1" applyAlignment="1" applyProtection="1">
      <alignment horizontal="center"/>
      <protection hidden="1"/>
    </xf>
    <xf numFmtId="0" fontId="44" fillId="29" borderId="71" xfId="0" applyFont="1" applyFill="1" applyBorder="1" applyAlignment="1" applyProtection="1">
      <alignment horizontal="center" vertical="center"/>
      <protection hidden="1"/>
    </xf>
    <xf numFmtId="0" fontId="6" fillId="39" borderId="37" xfId="0" applyFont="1" applyFill="1" applyBorder="1" applyAlignment="1" applyProtection="1">
      <alignment vertical="center" wrapText="1"/>
    </xf>
    <xf numFmtId="0" fontId="55" fillId="24" borderId="84" xfId="0" applyFont="1" applyFill="1" applyBorder="1" applyProtection="1">
      <protection hidden="1"/>
    </xf>
    <xf numFmtId="0" fontId="55" fillId="24" borderId="68" xfId="0" applyFont="1" applyFill="1" applyBorder="1" applyProtection="1">
      <protection hidden="1"/>
    </xf>
    <xf numFmtId="0" fontId="55" fillId="24" borderId="70" xfId="0" applyFont="1" applyFill="1" applyBorder="1" applyProtection="1">
      <protection hidden="1"/>
    </xf>
    <xf numFmtId="0" fontId="4" fillId="40" borderId="0" xfId="0" applyFont="1" applyFill="1" applyAlignment="1" applyProtection="1">
      <alignment horizontal="center" vertical="center"/>
    </xf>
    <xf numFmtId="0" fontId="6" fillId="40" borderId="0" xfId="0" applyFont="1" applyFill="1" applyAlignment="1" applyProtection="1">
      <alignment horizontal="center" vertical="center"/>
    </xf>
    <xf numFmtId="0" fontId="6" fillId="30" borderId="56" xfId="0" applyFont="1" applyFill="1" applyBorder="1" applyAlignment="1" applyProtection="1">
      <protection hidden="1"/>
    </xf>
    <xf numFmtId="0" fontId="44" fillId="30" borderId="10" xfId="0" applyFont="1" applyFill="1" applyBorder="1" applyAlignment="1" applyProtection="1">
      <alignment horizontal="center" vertical="center" wrapText="1"/>
      <protection hidden="1"/>
    </xf>
    <xf numFmtId="0" fontId="44" fillId="38" borderId="0" xfId="0" applyFont="1" applyFill="1" applyBorder="1" applyAlignment="1" applyProtection="1">
      <alignment vertical="top" wrapText="1"/>
      <protection hidden="1"/>
    </xf>
    <xf numFmtId="0" fontId="55" fillId="38" borderId="26" xfId="0" applyFont="1" applyFill="1" applyBorder="1" applyProtection="1">
      <protection hidden="1"/>
    </xf>
    <xf numFmtId="0" fontId="0" fillId="38" borderId="0" xfId="0" applyFill="1" applyAlignment="1" applyProtection="1">
      <alignment horizontal="left"/>
      <protection hidden="1"/>
    </xf>
    <xf numFmtId="0" fontId="0" fillId="38" borderId="0" xfId="0" applyFill="1" applyAlignment="1" applyProtection="1">
      <alignment horizontal="center" vertical="top" wrapText="1"/>
      <protection hidden="1"/>
    </xf>
    <xf numFmtId="0" fontId="0" fillId="0" borderId="0" xfId="0" quotePrefix="1" applyFont="1" applyProtection="1"/>
    <xf numFmtId="0" fontId="0" fillId="0" borderId="0" xfId="0" applyFont="1" applyProtection="1"/>
    <xf numFmtId="0" fontId="56" fillId="38" borderId="0" xfId="0" applyFont="1" applyFill="1" applyBorder="1" applyAlignment="1" applyProtection="1">
      <alignment vertical="top" wrapText="1"/>
      <protection hidden="1"/>
    </xf>
    <xf numFmtId="0" fontId="55" fillId="38" borderId="0" xfId="0" applyFont="1" applyFill="1" applyBorder="1" applyAlignment="1" applyProtection="1">
      <alignment vertical="center"/>
      <protection hidden="1"/>
    </xf>
    <xf numFmtId="0" fontId="49" fillId="48" borderId="0" xfId="0" applyFont="1" applyFill="1" applyBorder="1" applyAlignment="1" applyProtection="1">
      <alignment horizontal="center" vertical="center"/>
    </xf>
    <xf numFmtId="168" fontId="14" fillId="27" borderId="77" xfId="0" applyNumberFormat="1" applyFont="1" applyFill="1" applyBorder="1" applyAlignment="1" applyProtection="1">
      <alignment horizontal="center"/>
      <protection hidden="1"/>
    </xf>
    <xf numFmtId="0" fontId="43" fillId="32"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protection hidden="1"/>
    </xf>
    <xf numFmtId="0" fontId="42" fillId="0" borderId="0" xfId="0" applyFont="1" applyFill="1" applyBorder="1" applyAlignment="1" applyProtection="1">
      <alignment horizontal="center" vertical="top"/>
      <protection hidden="1"/>
    </xf>
    <xf numFmtId="0" fontId="42" fillId="0" borderId="0" xfId="0" applyFont="1" applyFill="1" applyBorder="1" applyAlignment="1" applyProtection="1">
      <alignment horizontal="center"/>
      <protection hidden="1"/>
    </xf>
    <xf numFmtId="0" fontId="60" fillId="45" borderId="10" xfId="0" applyFont="1" applyFill="1" applyBorder="1" applyAlignment="1" applyProtection="1">
      <alignment horizontal="center" vertical="center" wrapText="1"/>
      <protection hidden="1"/>
    </xf>
    <xf numFmtId="0" fontId="40" fillId="0" borderId="0" xfId="50" applyFont="1" applyAlignment="1">
      <alignment horizontal="left" vertical="top"/>
    </xf>
    <xf numFmtId="0" fontId="40" fillId="38" borderId="0" xfId="50" applyFont="1" applyFill="1" applyAlignment="1" applyProtection="1">
      <alignment horizontal="left" vertical="top"/>
      <protection hidden="1"/>
    </xf>
    <xf numFmtId="0" fontId="40" fillId="0" borderId="0" xfId="50" applyFont="1" applyAlignment="1">
      <alignment vertical="center"/>
    </xf>
    <xf numFmtId="0" fontId="40" fillId="38" borderId="0" xfId="50" applyFont="1" applyFill="1" applyAlignment="1" applyProtection="1">
      <alignment vertical="center"/>
      <protection hidden="1"/>
    </xf>
    <xf numFmtId="0" fontId="40" fillId="0" borderId="0" xfId="50" applyFont="1" applyAlignment="1">
      <alignment horizontal="left" vertical="center"/>
    </xf>
    <xf numFmtId="0" fontId="40" fillId="38" borderId="0" xfId="50" applyFont="1" applyFill="1" applyAlignment="1" applyProtection="1">
      <alignment horizontal="left" vertical="center"/>
      <protection hidden="1"/>
    </xf>
    <xf numFmtId="0" fontId="38" fillId="45" borderId="10" xfId="0" applyFont="1" applyFill="1" applyBorder="1" applyAlignment="1" applyProtection="1">
      <alignment horizontal="center" vertical="center" wrapText="1"/>
      <protection hidden="1"/>
    </xf>
    <xf numFmtId="0" fontId="38" fillId="45" borderId="13" xfId="0" applyFont="1" applyFill="1" applyBorder="1" applyAlignment="1" applyProtection="1">
      <alignment horizontal="center" vertical="center" wrapText="1"/>
      <protection hidden="1"/>
    </xf>
    <xf numFmtId="0" fontId="6" fillId="45" borderId="38" xfId="0" applyFont="1" applyFill="1" applyBorder="1" applyAlignment="1" applyProtection="1">
      <alignment horizontal="center" vertical="center" wrapText="1"/>
    </xf>
    <xf numFmtId="0" fontId="60" fillId="45" borderId="13" xfId="0" applyFont="1" applyFill="1" applyBorder="1" applyAlignment="1" applyProtection="1">
      <alignment horizontal="center" vertical="center" wrapText="1"/>
      <protection hidden="1"/>
    </xf>
    <xf numFmtId="0" fontId="55" fillId="32" borderId="27" xfId="0" applyFont="1" applyFill="1" applyBorder="1" applyAlignment="1" applyProtection="1">
      <alignment horizontal="right"/>
      <protection hidden="1"/>
    </xf>
    <xf numFmtId="0" fontId="56" fillId="43" borderId="10" xfId="0" applyFont="1" applyFill="1" applyBorder="1" applyAlignment="1" applyProtection="1">
      <alignment vertical="center"/>
      <protection hidden="1"/>
    </xf>
    <xf numFmtId="0" fontId="55" fillId="38" borderId="0" xfId="0" applyFont="1" applyFill="1" applyBorder="1" applyAlignment="1" applyProtection="1">
      <alignment vertical="top" wrapText="1"/>
      <protection hidden="1"/>
    </xf>
    <xf numFmtId="0" fontId="56" fillId="43" borderId="10" xfId="0" applyFont="1" applyFill="1" applyBorder="1" applyAlignment="1" applyProtection="1">
      <alignment horizontal="center" vertical="center" wrapText="1"/>
      <protection hidden="1"/>
    </xf>
    <xf numFmtId="0" fontId="40" fillId="38" borderId="0" xfId="50" applyFont="1" applyFill="1" applyProtection="1">
      <protection hidden="1"/>
    </xf>
    <xf numFmtId="0" fontId="15" fillId="27" borderId="14" xfId="0" applyNumberFormat="1" applyFont="1" applyFill="1" applyBorder="1" applyAlignment="1" applyProtection="1">
      <alignment horizontal="center"/>
      <protection hidden="1"/>
    </xf>
    <xf numFmtId="0" fontId="6" fillId="0" borderId="85" xfId="0" applyFont="1" applyFill="1" applyBorder="1" applyAlignment="1" applyProtection="1">
      <alignment horizontal="center"/>
      <protection hidden="1"/>
    </xf>
    <xf numFmtId="0" fontId="6" fillId="0" borderId="81" xfId="0" applyFont="1" applyFill="1" applyBorder="1" applyAlignment="1" applyProtection="1">
      <alignment horizontal="center"/>
      <protection hidden="1"/>
    </xf>
    <xf numFmtId="0" fontId="6" fillId="0" borderId="86" xfId="0" applyFont="1" applyFill="1" applyBorder="1" applyAlignment="1" applyProtection="1">
      <alignment horizontal="center"/>
      <protection hidden="1"/>
    </xf>
    <xf numFmtId="0" fontId="4" fillId="0" borderId="90" xfId="0" applyFont="1" applyFill="1" applyBorder="1" applyProtection="1">
      <protection hidden="1"/>
    </xf>
    <xf numFmtId="0" fontId="4" fillId="0" borderId="55" xfId="0" applyFont="1" applyFill="1" applyBorder="1" applyProtection="1">
      <protection hidden="1"/>
    </xf>
    <xf numFmtId="0" fontId="6" fillId="0" borderId="90" xfId="0" applyFont="1" applyFill="1" applyBorder="1" applyAlignment="1" applyProtection="1">
      <alignment horizontal="center"/>
      <protection hidden="1"/>
    </xf>
    <xf numFmtId="0" fontId="6" fillId="0" borderId="55" xfId="0" applyFont="1" applyFill="1" applyBorder="1" applyAlignment="1" applyProtection="1">
      <alignment horizontal="center"/>
      <protection hidden="1"/>
    </xf>
    <xf numFmtId="0" fontId="6" fillId="0" borderId="55" xfId="0" applyFont="1" applyFill="1" applyBorder="1" applyProtection="1">
      <protection hidden="1"/>
    </xf>
    <xf numFmtId="0" fontId="6" fillId="0" borderId="90" xfId="0" applyFont="1" applyFill="1" applyBorder="1" applyProtection="1">
      <protection hidden="1"/>
    </xf>
    <xf numFmtId="0" fontId="6" fillId="0" borderId="89" xfId="0" applyFont="1" applyFill="1" applyBorder="1" applyProtection="1">
      <protection hidden="1"/>
    </xf>
    <xf numFmtId="0" fontId="6" fillId="0" borderId="88" xfId="0" applyFont="1" applyFill="1" applyBorder="1" applyProtection="1">
      <protection hidden="1"/>
    </xf>
    <xf numFmtId="0" fontId="4" fillId="0" borderId="88" xfId="0" applyFont="1" applyFill="1" applyBorder="1" applyProtection="1">
      <protection hidden="1"/>
    </xf>
    <xf numFmtId="0" fontId="4" fillId="0" borderId="54" xfId="0" applyFont="1" applyFill="1" applyBorder="1" applyProtection="1">
      <protection hidden="1"/>
    </xf>
    <xf numFmtId="0" fontId="36" fillId="0" borderId="89" xfId="0" applyFont="1" applyFill="1" applyBorder="1" applyProtection="1">
      <protection hidden="1"/>
    </xf>
    <xf numFmtId="0" fontId="36" fillId="0" borderId="88" xfId="0" applyFont="1" applyFill="1" applyBorder="1" applyProtection="1">
      <protection hidden="1"/>
    </xf>
    <xf numFmtId="0" fontId="36" fillId="0" borderId="54" xfId="0" applyFont="1" applyFill="1" applyBorder="1" applyProtection="1">
      <protection hidden="1"/>
    </xf>
    <xf numFmtId="0" fontId="4" fillId="0" borderId="85" xfId="0" applyFont="1" applyFill="1" applyBorder="1" applyProtection="1">
      <protection hidden="1"/>
    </xf>
    <xf numFmtId="0" fontId="36" fillId="0" borderId="81" xfId="0" applyFont="1" applyFill="1" applyBorder="1" applyProtection="1">
      <protection hidden="1"/>
    </xf>
    <xf numFmtId="0" fontId="4" fillId="0" borderId="81" xfId="0" applyFont="1" applyFill="1" applyBorder="1" applyProtection="1">
      <protection hidden="1"/>
    </xf>
    <xf numFmtId="0" fontId="4" fillId="24" borderId="86" xfId="0" applyFont="1" applyFill="1" applyBorder="1" applyProtection="1">
      <protection hidden="1"/>
    </xf>
    <xf numFmtId="0" fontId="4" fillId="24" borderId="0" xfId="0" applyFont="1" applyFill="1" applyBorder="1" applyProtection="1">
      <protection hidden="1"/>
    </xf>
    <xf numFmtId="0" fontId="36" fillId="0" borderId="55" xfId="0" applyFont="1" applyBorder="1" applyProtection="1">
      <protection hidden="1"/>
    </xf>
    <xf numFmtId="0" fontId="4" fillId="24" borderId="55" xfId="0" applyFont="1" applyFill="1" applyBorder="1" applyProtection="1">
      <protection hidden="1"/>
    </xf>
    <xf numFmtId="0" fontId="36" fillId="0" borderId="90" xfId="0" applyFont="1" applyFill="1" applyBorder="1" applyProtection="1">
      <protection hidden="1"/>
    </xf>
    <xf numFmtId="0" fontId="4" fillId="24" borderId="54" xfId="0" applyFont="1" applyFill="1" applyBorder="1" applyProtection="1">
      <protection hidden="1"/>
    </xf>
    <xf numFmtId="0" fontId="6" fillId="0" borderId="90" xfId="0" applyFont="1" applyFill="1" applyBorder="1" applyAlignment="1" applyProtection="1">
      <alignment horizontal="left"/>
      <protection hidden="1"/>
    </xf>
    <xf numFmtId="0" fontId="6" fillId="0" borderId="55" xfId="0" applyFont="1" applyFill="1" applyBorder="1" applyAlignment="1" applyProtection="1">
      <alignment horizontal="left"/>
      <protection hidden="1"/>
    </xf>
    <xf numFmtId="0" fontId="36" fillId="0" borderId="54" xfId="0" applyFont="1" applyFill="1" applyBorder="1" applyAlignment="1" applyProtection="1">
      <alignment horizontal="left"/>
      <protection hidden="1"/>
    </xf>
    <xf numFmtId="0" fontId="44" fillId="33" borderId="10" xfId="0" applyFont="1" applyFill="1" applyBorder="1" applyAlignment="1" applyProtection="1">
      <alignment horizontal="center" vertical="center"/>
      <protection hidden="1"/>
    </xf>
    <xf numFmtId="0" fontId="44" fillId="0" borderId="10" xfId="0" applyFont="1" applyFill="1" applyBorder="1" applyAlignment="1" applyProtection="1">
      <alignment horizontal="center" vertical="center" wrapText="1"/>
      <protection hidden="1"/>
    </xf>
    <xf numFmtId="0" fontId="44" fillId="41" borderId="71" xfId="0" applyFont="1" applyFill="1" applyBorder="1" applyAlignment="1" applyProtection="1">
      <alignment horizontal="center" vertical="top"/>
      <protection locked="0"/>
    </xf>
    <xf numFmtId="0" fontId="14" fillId="30" borderId="72" xfId="0" applyFont="1" applyFill="1" applyBorder="1" applyAlignment="1" applyProtection="1">
      <alignment horizontal="left" vertical="top" wrapText="1"/>
      <protection hidden="1"/>
    </xf>
    <xf numFmtId="0" fontId="44" fillId="39" borderId="71" xfId="0" applyFont="1" applyFill="1" applyBorder="1" applyAlignment="1" applyProtection="1">
      <alignment horizontal="center" vertical="center"/>
      <protection hidden="1"/>
    </xf>
    <xf numFmtId="0" fontId="44" fillId="30" borderId="25" xfId="0" applyFont="1" applyFill="1" applyBorder="1" applyAlignment="1" applyProtection="1">
      <alignment horizontal="center" vertical="center" wrapText="1"/>
      <protection hidden="1"/>
    </xf>
    <xf numFmtId="0" fontId="59" fillId="38" borderId="0" xfId="0" applyFont="1" applyFill="1" applyBorder="1" applyAlignment="1" applyProtection="1">
      <alignment horizontal="center" vertical="center"/>
      <protection hidden="1"/>
    </xf>
    <xf numFmtId="0" fontId="59" fillId="38" borderId="0" xfId="0" applyFont="1" applyFill="1" applyBorder="1" applyAlignment="1" applyProtection="1">
      <alignment horizontal="center"/>
      <protection hidden="1"/>
    </xf>
    <xf numFmtId="0" fontId="59" fillId="38" borderId="0" xfId="0" applyNumberFormat="1" applyFont="1" applyFill="1" applyBorder="1" applyAlignment="1" applyProtection="1">
      <alignment horizontal="center" vertical="center"/>
      <protection hidden="1"/>
    </xf>
    <xf numFmtId="0" fontId="59" fillId="38" borderId="0" xfId="0" applyNumberFormat="1" applyFont="1" applyFill="1" applyBorder="1" applyAlignment="1" applyProtection="1">
      <alignment horizontal="center" vertical="center"/>
    </xf>
    <xf numFmtId="0" fontId="55" fillId="38" borderId="0" xfId="0" applyFont="1" applyFill="1" applyBorder="1" applyAlignment="1" applyProtection="1">
      <alignment horizontal="center"/>
    </xf>
    <xf numFmtId="0" fontId="56" fillId="38" borderId="0" xfId="0" applyFont="1" applyFill="1" applyBorder="1" applyAlignment="1" applyProtection="1">
      <alignment horizontal="center" vertical="center"/>
    </xf>
    <xf numFmtId="0" fontId="55" fillId="38" borderId="0" xfId="0" applyFont="1" applyFill="1" applyAlignment="1" applyProtection="1">
      <alignment horizontal="center"/>
      <protection hidden="1"/>
    </xf>
    <xf numFmtId="0" fontId="55" fillId="38" borderId="56" xfId="0" applyFont="1" applyFill="1" applyBorder="1" applyAlignment="1" applyProtection="1">
      <alignment horizontal="center"/>
      <protection hidden="1"/>
    </xf>
    <xf numFmtId="0" fontId="4" fillId="40" borderId="0" xfId="0" applyFont="1" applyFill="1" applyAlignment="1" applyProtection="1">
      <alignment horizontal="left" vertical="center"/>
    </xf>
    <xf numFmtId="0" fontId="55" fillId="38" borderId="35" xfId="0" applyFont="1" applyFill="1" applyBorder="1"/>
    <xf numFmtId="0" fontId="0" fillId="38" borderId="0" xfId="0" applyFill="1" applyAlignment="1">
      <alignment horizontal="left"/>
    </xf>
    <xf numFmtId="0" fontId="0" fillId="38" borderId="0" xfId="0" applyFill="1" applyAlignment="1">
      <alignment horizontal="center" vertical="top" wrapText="1"/>
    </xf>
    <xf numFmtId="0" fontId="6" fillId="34" borderId="39" xfId="0" applyFont="1" applyFill="1" applyBorder="1" applyAlignment="1" applyProtection="1">
      <alignment horizontal="center" vertical="center" wrapText="1"/>
      <protection hidden="1"/>
    </xf>
    <xf numFmtId="0" fontId="6" fillId="34" borderId="25" xfId="0" applyFont="1" applyFill="1" applyBorder="1" applyAlignment="1" applyProtection="1">
      <alignment horizontal="center" vertical="center" wrapText="1"/>
      <protection hidden="1"/>
    </xf>
    <xf numFmtId="0" fontId="6" fillId="34" borderId="92" xfId="0" applyFont="1" applyFill="1" applyBorder="1" applyAlignment="1" applyProtection="1">
      <alignment horizontal="center" vertical="center" wrapText="1"/>
      <protection hidden="1"/>
    </xf>
    <xf numFmtId="0" fontId="13" fillId="41" borderId="10" xfId="0" applyFont="1" applyFill="1" applyBorder="1" applyAlignment="1" applyProtection="1">
      <alignment horizontal="center" vertical="center"/>
      <protection locked="0" hidden="1"/>
    </xf>
    <xf numFmtId="0" fontId="6" fillId="41" borderId="10" xfId="0" applyFont="1" applyFill="1" applyBorder="1" applyAlignment="1" applyProtection="1">
      <alignment horizontal="center" vertical="center" wrapText="1"/>
      <protection locked="0" hidden="1"/>
    </xf>
    <xf numFmtId="0" fontId="6" fillId="41" borderId="10" xfId="0" applyFont="1" applyFill="1" applyBorder="1" applyAlignment="1" applyProtection="1">
      <alignment horizontal="center" vertical="center"/>
      <protection hidden="1"/>
    </xf>
    <xf numFmtId="0" fontId="6" fillId="41" borderId="10" xfId="0" applyFont="1" applyFill="1" applyBorder="1" applyAlignment="1" applyProtection="1">
      <alignment horizontal="center" vertical="center" wrapText="1"/>
      <protection hidden="1"/>
    </xf>
    <xf numFmtId="0" fontId="12" fillId="41" borderId="25" xfId="0" applyFont="1" applyFill="1" applyBorder="1" applyAlignment="1" applyProtection="1">
      <alignment horizontal="right" vertical="top" wrapText="1"/>
      <protection locked="0"/>
    </xf>
    <xf numFmtId="0" fontId="12" fillId="41" borderId="10" xfId="0" applyFont="1" applyFill="1" applyBorder="1" applyAlignment="1" applyProtection="1">
      <alignment horizontal="center" vertical="center"/>
      <protection locked="0"/>
    </xf>
    <xf numFmtId="0" fontId="12" fillId="41" borderId="10" xfId="0" applyFont="1" applyFill="1" applyBorder="1" applyAlignment="1" applyProtection="1">
      <alignment horizontal="right" vertical="center"/>
      <protection locked="0"/>
    </xf>
    <xf numFmtId="0" fontId="12" fillId="41" borderId="10" xfId="0" applyFont="1" applyFill="1" applyBorder="1" applyAlignment="1" applyProtection="1">
      <alignment horizontal="right" vertical="top" wrapText="1"/>
      <protection locked="0"/>
    </xf>
    <xf numFmtId="0" fontId="0" fillId="41" borderId="10" xfId="0" applyFill="1" applyBorder="1" applyAlignment="1" applyProtection="1">
      <alignment horizontal="right" vertical="top" wrapText="1"/>
      <protection locked="0"/>
    </xf>
    <xf numFmtId="0" fontId="0" fillId="41" borderId="0" xfId="0" applyFill="1" applyBorder="1" applyProtection="1">
      <protection locked="0"/>
    </xf>
    <xf numFmtId="0" fontId="0" fillId="41" borderId="10" xfId="0" applyFill="1" applyBorder="1" applyAlignment="1" applyProtection="1">
      <alignment horizontal="right"/>
      <protection locked="0"/>
    </xf>
    <xf numFmtId="0" fontId="0" fillId="41" borderId="96" xfId="0" applyFill="1" applyBorder="1" applyAlignment="1" applyProtection="1">
      <alignment horizontal="right" vertical="top" wrapText="1"/>
      <protection locked="0"/>
    </xf>
    <xf numFmtId="0" fontId="0" fillId="41" borderId="96" xfId="0" applyFill="1" applyBorder="1" applyAlignment="1" applyProtection="1">
      <alignment horizontal="right"/>
      <protection locked="0"/>
    </xf>
    <xf numFmtId="0" fontId="0" fillId="43" borderId="10" xfId="0" applyFill="1" applyBorder="1" applyAlignment="1" applyProtection="1">
      <alignment horizontal="right"/>
      <protection hidden="1"/>
    </xf>
    <xf numFmtId="0" fontId="0" fillId="43" borderId="94" xfId="0" applyFill="1" applyBorder="1" applyAlignment="1" applyProtection="1">
      <alignment horizontal="right"/>
      <protection hidden="1"/>
    </xf>
    <xf numFmtId="0" fontId="0" fillId="43" borderId="11" xfId="0" applyFill="1" applyBorder="1" applyAlignment="1" applyProtection="1">
      <alignment horizontal="right"/>
      <protection hidden="1"/>
    </xf>
    <xf numFmtId="0" fontId="0" fillId="43" borderId="96" xfId="0" applyFill="1" applyBorder="1" applyAlignment="1" applyProtection="1">
      <alignment horizontal="right"/>
      <protection hidden="1"/>
    </xf>
    <xf numFmtId="0" fontId="0" fillId="43" borderId="99" xfId="0" applyFill="1" applyBorder="1" applyAlignment="1" applyProtection="1">
      <alignment horizontal="right"/>
      <protection hidden="1"/>
    </xf>
    <xf numFmtId="0" fontId="6" fillId="43" borderId="25" xfId="0" applyFont="1" applyFill="1" applyBorder="1" applyAlignment="1" applyProtection="1">
      <alignment horizontal="center" vertical="top" wrapText="1"/>
      <protection hidden="1"/>
    </xf>
    <xf numFmtId="0" fontId="33" fillId="40" borderId="101" xfId="0" applyFont="1" applyFill="1" applyBorder="1" applyAlignment="1" applyProtection="1">
      <alignment horizontal="center"/>
      <protection hidden="1"/>
    </xf>
    <xf numFmtId="0" fontId="33" fillId="40" borderId="29" xfId="0" applyFont="1" applyFill="1" applyBorder="1" applyAlignment="1" applyProtection="1">
      <alignment horizontal="center"/>
      <protection hidden="1"/>
    </xf>
    <xf numFmtId="0" fontId="0" fillId="40" borderId="25" xfId="0" applyFill="1" applyBorder="1" applyAlignment="1" applyProtection="1">
      <protection hidden="1"/>
    </xf>
    <xf numFmtId="0" fontId="6" fillId="0" borderId="85" xfId="0" applyFont="1" applyFill="1" applyBorder="1" applyAlignment="1" applyProtection="1">
      <alignment horizontal="center"/>
      <protection hidden="1"/>
    </xf>
    <xf numFmtId="0" fontId="6" fillId="0" borderId="86"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68" fillId="0" borderId="0" xfId="0" applyFont="1" applyFill="1" applyBorder="1" applyProtection="1">
      <protection hidden="1"/>
    </xf>
    <xf numFmtId="0" fontId="69" fillId="38" borderId="0" xfId="0" applyFont="1" applyFill="1" applyBorder="1" applyProtection="1">
      <protection hidden="1"/>
    </xf>
    <xf numFmtId="0" fontId="4" fillId="40" borderId="0" xfId="0" applyFont="1" applyFill="1" applyBorder="1" applyProtection="1">
      <protection hidden="1"/>
    </xf>
    <xf numFmtId="0" fontId="56" fillId="38" borderId="0" xfId="0" applyFont="1" applyFill="1" applyBorder="1" applyAlignment="1" applyProtection="1">
      <alignment horizontal="center"/>
      <protection hidden="1"/>
    </xf>
    <xf numFmtId="0" fontId="37" fillId="51" borderId="90" xfId="0" applyFont="1" applyFill="1" applyBorder="1" applyProtection="1">
      <protection hidden="1"/>
    </xf>
    <xf numFmtId="0" fontId="37" fillId="51" borderId="0" xfId="0" applyFont="1" applyFill="1" applyBorder="1" applyAlignment="1" applyProtection="1">
      <alignment horizontal="right"/>
      <protection hidden="1"/>
    </xf>
    <xf numFmtId="0" fontId="6" fillId="51" borderId="90" xfId="0" applyFont="1" applyFill="1" applyBorder="1" applyProtection="1">
      <protection hidden="1"/>
    </xf>
    <xf numFmtId="0" fontId="6" fillId="51" borderId="0" xfId="0" applyFont="1" applyFill="1" applyBorder="1" applyProtection="1">
      <protection hidden="1"/>
    </xf>
    <xf numFmtId="0" fontId="36" fillId="51" borderId="90" xfId="0" applyFont="1" applyFill="1" applyBorder="1" applyProtection="1">
      <protection hidden="1"/>
    </xf>
    <xf numFmtId="0" fontId="36" fillId="51" borderId="0" xfId="0" applyFont="1" applyFill="1" applyBorder="1" applyProtection="1">
      <protection hidden="1"/>
    </xf>
    <xf numFmtId="168" fontId="36" fillId="51" borderId="0" xfId="0" applyNumberFormat="1" applyFont="1" applyFill="1" applyBorder="1" applyProtection="1">
      <protection hidden="1"/>
    </xf>
    <xf numFmtId="0" fontId="37" fillId="51" borderId="0" xfId="0" applyFont="1" applyFill="1" applyBorder="1" applyProtection="1">
      <protection hidden="1"/>
    </xf>
    <xf numFmtId="0" fontId="56" fillId="40" borderId="10" xfId="0" applyFont="1" applyFill="1" applyBorder="1" applyAlignment="1" applyProtection="1">
      <alignment horizontal="center"/>
      <protection hidden="1"/>
    </xf>
    <xf numFmtId="0" fontId="56" fillId="43" borderId="10" xfId="0" applyFont="1" applyFill="1" applyBorder="1" applyAlignment="1" applyProtection="1">
      <alignment horizontal="center"/>
      <protection hidden="1"/>
    </xf>
    <xf numFmtId="0" fontId="55" fillId="45" borderId="10" xfId="0" applyFont="1" applyFill="1" applyBorder="1" applyAlignment="1" applyProtection="1">
      <alignment horizontal="center"/>
      <protection hidden="1"/>
    </xf>
    <xf numFmtId="0" fontId="40" fillId="38" borderId="0" xfId="50" applyFont="1" applyFill="1"/>
    <xf numFmtId="0" fontId="40" fillId="0" borderId="0" xfId="50" applyFont="1"/>
    <xf numFmtId="0" fontId="40" fillId="38" borderId="55" xfId="50" applyFont="1" applyFill="1" applyBorder="1" applyAlignment="1" applyProtection="1">
      <alignment vertical="center"/>
      <protection hidden="1"/>
    </xf>
    <xf numFmtId="0" fontId="40" fillId="38" borderId="55" xfId="50" applyFont="1" applyFill="1" applyBorder="1" applyAlignment="1" applyProtection="1">
      <alignment horizontal="left" vertical="center"/>
      <protection hidden="1"/>
    </xf>
    <xf numFmtId="0" fontId="40" fillId="38" borderId="0" xfId="50" applyFont="1" applyFill="1" applyAlignment="1" applyProtection="1">
      <alignment vertical="top"/>
      <protection hidden="1"/>
    </xf>
    <xf numFmtId="0" fontId="40" fillId="0" borderId="0" xfId="50" applyFont="1" applyAlignment="1">
      <alignment vertical="top"/>
    </xf>
    <xf numFmtId="0" fontId="36" fillId="48" borderId="0" xfId="0" applyFont="1" applyFill="1" applyAlignment="1" applyProtection="1">
      <alignment horizontal="center" vertical="center"/>
    </xf>
    <xf numFmtId="0" fontId="52" fillId="52" borderId="0" xfId="0" applyFont="1" applyFill="1" applyAlignment="1" applyProtection="1">
      <alignment horizontal="left" vertical="center"/>
    </xf>
    <xf numFmtId="0" fontId="52" fillId="52" borderId="0" xfId="0" applyFont="1" applyFill="1" applyProtection="1"/>
    <xf numFmtId="0" fontId="70" fillId="53" borderId="20" xfId="0" applyFont="1" applyFill="1" applyBorder="1" applyAlignment="1" applyProtection="1">
      <alignment horizontal="center" vertical="center"/>
    </xf>
    <xf numFmtId="0" fontId="70" fillId="53" borderId="30" xfId="0" applyFont="1" applyFill="1" applyBorder="1" applyAlignment="1" applyProtection="1">
      <alignment horizontal="center" vertical="center"/>
    </xf>
    <xf numFmtId="0" fontId="4" fillId="53" borderId="0" xfId="0" applyFont="1" applyFill="1" applyAlignment="1" applyProtection="1">
      <alignment horizontal="left" vertical="center"/>
    </xf>
    <xf numFmtId="0" fontId="4" fillId="53" borderId="0" xfId="0" applyFont="1" applyFill="1" applyAlignment="1" applyProtection="1">
      <alignment horizontal="right"/>
      <protection hidden="1"/>
    </xf>
    <xf numFmtId="0" fontId="45" fillId="0" borderId="0" xfId="0" applyFont="1" applyFill="1" applyAlignment="1" applyProtection="1">
      <alignment horizontal="right"/>
      <protection hidden="1"/>
    </xf>
    <xf numFmtId="0" fontId="45" fillId="0" borderId="20" xfId="0" applyFont="1" applyFill="1" applyBorder="1" applyAlignment="1" applyProtection="1">
      <alignment horizontal="center" vertical="center"/>
    </xf>
    <xf numFmtId="0" fontId="45" fillId="0" borderId="30" xfId="0" applyFont="1" applyFill="1" applyBorder="1" applyAlignment="1" applyProtection="1">
      <alignment horizontal="center" vertical="center"/>
    </xf>
    <xf numFmtId="0" fontId="36" fillId="0" borderId="0" xfId="0" applyFont="1" applyProtection="1"/>
    <xf numFmtId="0" fontId="37" fillId="55" borderId="31" xfId="0" applyFont="1" applyFill="1" applyBorder="1" applyAlignment="1" applyProtection="1">
      <alignment vertical="center" wrapText="1"/>
    </xf>
    <xf numFmtId="0" fontId="6" fillId="30" borderId="16" xfId="0" applyFont="1" applyFill="1" applyBorder="1" applyProtection="1">
      <protection hidden="1"/>
    </xf>
    <xf numFmtId="0" fontId="8" fillId="30" borderId="15" xfId="0" applyFont="1" applyFill="1" applyBorder="1" applyProtection="1">
      <protection hidden="1"/>
    </xf>
    <xf numFmtId="0" fontId="8" fillId="30" borderId="18" xfId="0" applyFont="1" applyFill="1" applyBorder="1" applyProtection="1">
      <protection hidden="1"/>
    </xf>
    <xf numFmtId="0" fontId="4" fillId="38" borderId="0" xfId="0" applyFont="1" applyFill="1" applyAlignment="1" applyProtection="1">
      <alignment horizontal="center" vertical="center"/>
    </xf>
    <xf numFmtId="0" fontId="4" fillId="38" borderId="0" xfId="0" applyFont="1" applyFill="1" applyAlignment="1">
      <alignment horizontal="center" vertical="center"/>
    </xf>
    <xf numFmtId="0" fontId="14" fillId="39" borderId="24" xfId="0" applyFont="1" applyFill="1" applyBorder="1" applyAlignment="1" applyProtection="1">
      <alignment horizontal="center" vertical="center" wrapText="1"/>
      <protection hidden="1"/>
    </xf>
    <xf numFmtId="0" fontId="14" fillId="30" borderId="60" xfId="0" applyFont="1" applyFill="1" applyBorder="1" applyAlignment="1" applyProtection="1">
      <alignment horizontal="left" vertical="center" wrapText="1"/>
      <protection hidden="1"/>
    </xf>
    <xf numFmtId="0" fontId="45" fillId="38" borderId="20" xfId="0" applyFont="1" applyFill="1" applyBorder="1" applyAlignment="1" applyProtection="1">
      <alignment horizontal="center" vertical="center"/>
    </xf>
    <xf numFmtId="0" fontId="45" fillId="40" borderId="0" xfId="0" applyFont="1" applyFill="1" applyAlignment="1" applyProtection="1">
      <alignment horizontal="right"/>
      <protection hidden="1"/>
    </xf>
    <xf numFmtId="0" fontId="4" fillId="49" borderId="37" xfId="0" applyFont="1" applyFill="1" applyBorder="1" applyAlignment="1" applyProtection="1">
      <alignment horizontal="center" wrapText="1"/>
      <protection hidden="1"/>
    </xf>
    <xf numFmtId="0" fontId="4" fillId="40" borderId="37" xfId="0" applyFont="1" applyFill="1" applyBorder="1" applyAlignment="1" applyProtection="1">
      <alignment horizontal="center" wrapText="1"/>
      <protection hidden="1"/>
    </xf>
    <xf numFmtId="0" fontId="5" fillId="0" borderId="10" xfId="0" applyFont="1" applyBorder="1" applyAlignment="1" applyProtection="1">
      <alignment horizontal="center" vertical="center" wrapText="1"/>
      <protection hidden="1"/>
    </xf>
    <xf numFmtId="0" fontId="79" fillId="44" borderId="13" xfId="0" applyFont="1" applyFill="1" applyBorder="1" applyAlignment="1" applyProtection="1">
      <alignment horizontal="center" vertical="center"/>
      <protection locked="0"/>
    </xf>
    <xf numFmtId="0" fontId="55" fillId="0" borderId="0" xfId="60" applyFont="1" applyProtection="1">
      <protection locked="0"/>
    </xf>
    <xf numFmtId="0" fontId="2" fillId="0" borderId="0" xfId="60"/>
    <xf numFmtId="0" fontId="44" fillId="45" borderId="103" xfId="60" applyFont="1" applyFill="1" applyBorder="1" applyAlignment="1">
      <alignment horizontal="center" vertical="center" wrapText="1"/>
    </xf>
    <xf numFmtId="0" fontId="2" fillId="0" borderId="0" xfId="60" applyAlignment="1">
      <alignment wrapText="1"/>
    </xf>
    <xf numFmtId="0" fontId="55" fillId="54" borderId="10" xfId="60" applyFont="1" applyFill="1" applyBorder="1" applyAlignment="1">
      <alignment horizontal="center" vertical="center" wrapText="1"/>
    </xf>
    <xf numFmtId="0" fontId="55" fillId="0" borderId="0" xfId="60" applyFont="1" applyAlignment="1">
      <alignment wrapText="1"/>
    </xf>
    <xf numFmtId="0" fontId="55" fillId="0" borderId="0" xfId="60" applyFont="1"/>
    <xf numFmtId="0" fontId="55" fillId="53" borderId="19" xfId="60" applyFont="1" applyFill="1" applyBorder="1"/>
    <xf numFmtId="0" fontId="55" fillId="53" borderId="26" xfId="60" applyFont="1" applyFill="1" applyBorder="1"/>
    <xf numFmtId="0" fontId="55" fillId="53" borderId="26" xfId="60" applyFont="1" applyFill="1" applyBorder="1" applyProtection="1">
      <protection locked="0"/>
    </xf>
    <xf numFmtId="0" fontId="2" fillId="53" borderId="26" xfId="60" applyFill="1" applyBorder="1"/>
    <xf numFmtId="0" fontId="2" fillId="53" borderId="21" xfId="60" applyFill="1" applyBorder="1"/>
    <xf numFmtId="0" fontId="55" fillId="53" borderId="20" xfId="60" applyFont="1" applyFill="1" applyBorder="1"/>
    <xf numFmtId="0" fontId="55" fillId="53" borderId="0" xfId="60" applyFont="1" applyFill="1"/>
    <xf numFmtId="0" fontId="55" fillId="53" borderId="0" xfId="60" applyFont="1" applyFill="1" applyProtection="1">
      <protection locked="0"/>
    </xf>
    <xf numFmtId="0" fontId="2" fillId="53" borderId="0" xfId="60" applyFill="1"/>
    <xf numFmtId="0" fontId="2" fillId="53" borderId="30" xfId="60" applyFill="1" applyBorder="1"/>
    <xf numFmtId="0" fontId="55" fillId="53" borderId="28" xfId="60" applyFont="1" applyFill="1" applyBorder="1"/>
    <xf numFmtId="0" fontId="55" fillId="53" borderId="27" xfId="60" applyFont="1" applyFill="1" applyBorder="1"/>
    <xf numFmtId="0" fontId="55" fillId="53" borderId="27" xfId="60" applyFont="1" applyFill="1" applyBorder="1" applyProtection="1">
      <protection locked="0"/>
    </xf>
    <xf numFmtId="0" fontId="2" fillId="53" borderId="27" xfId="60" applyFill="1" applyBorder="1"/>
    <xf numFmtId="0" fontId="2" fillId="53" borderId="29" xfId="60" applyFill="1" applyBorder="1"/>
    <xf numFmtId="0" fontId="56" fillId="0" borderId="0" xfId="60" applyFont="1" applyProtection="1">
      <protection locked="0"/>
    </xf>
    <xf numFmtId="0" fontId="56" fillId="0" borderId="0" xfId="60" applyFont="1" applyAlignment="1" applyProtection="1">
      <alignment horizontal="right"/>
      <protection locked="0"/>
    </xf>
    <xf numFmtId="168" fontId="56" fillId="54" borderId="19" xfId="60" applyNumberFormat="1" applyFont="1" applyFill="1" applyBorder="1" applyProtection="1">
      <protection locked="0"/>
    </xf>
    <xf numFmtId="0" fontId="55" fillId="54" borderId="26" xfId="60" applyFont="1" applyFill="1" applyBorder="1" applyProtection="1">
      <protection locked="0"/>
    </xf>
    <xf numFmtId="0" fontId="2" fillId="54" borderId="26" xfId="60" applyFill="1" applyBorder="1"/>
    <xf numFmtId="0" fontId="2" fillId="54" borderId="21" xfId="60" applyFill="1" applyBorder="1"/>
    <xf numFmtId="0" fontId="71" fillId="0" borderId="0" xfId="60" applyFont="1"/>
    <xf numFmtId="168" fontId="55" fillId="53" borderId="20" xfId="60" applyNumberFormat="1" applyFont="1" applyFill="1" applyBorder="1" applyProtection="1">
      <protection locked="0"/>
    </xf>
    <xf numFmtId="168" fontId="55" fillId="53" borderId="28" xfId="60" applyNumberFormat="1" applyFont="1" applyFill="1" applyBorder="1" applyProtection="1">
      <protection locked="0"/>
    </xf>
    <xf numFmtId="0" fontId="56" fillId="53" borderId="27" xfId="60" applyFont="1" applyFill="1" applyBorder="1" applyProtection="1">
      <protection locked="0"/>
    </xf>
    <xf numFmtId="0" fontId="56" fillId="53" borderId="29" xfId="60" applyFont="1" applyFill="1" applyBorder="1" applyProtection="1">
      <protection locked="0"/>
    </xf>
    <xf numFmtId="0" fontId="2" fillId="54" borderId="19" xfId="60" applyFill="1" applyBorder="1"/>
    <xf numFmtId="0" fontId="60" fillId="54" borderId="26" xfId="60" applyFont="1" applyFill="1" applyBorder="1" applyProtection="1">
      <protection locked="0"/>
    </xf>
    <xf numFmtId="0" fontId="55" fillId="54" borderId="26" xfId="60" applyFont="1" applyFill="1" applyBorder="1"/>
    <xf numFmtId="0" fontId="55" fillId="54" borderId="21" xfId="60" applyFont="1" applyFill="1" applyBorder="1" applyProtection="1">
      <protection locked="0"/>
    </xf>
    <xf numFmtId="0" fontId="56" fillId="54" borderId="20" xfId="60" applyFont="1" applyFill="1" applyBorder="1"/>
    <xf numFmtId="0" fontId="55" fillId="54" borderId="0" xfId="60" applyFont="1" applyFill="1"/>
    <xf numFmtId="0" fontId="55" fillId="54" borderId="30" xfId="60" applyFont="1" applyFill="1" applyBorder="1"/>
    <xf numFmtId="0" fontId="56" fillId="54" borderId="20" xfId="60" applyFont="1" applyFill="1" applyBorder="1" applyProtection="1">
      <protection locked="0"/>
    </xf>
    <xf numFmtId="0" fontId="55" fillId="54" borderId="0" xfId="60" applyFont="1" applyFill="1" applyProtection="1">
      <protection locked="0"/>
    </xf>
    <xf numFmtId="0" fontId="56" fillId="54" borderId="0" xfId="60" applyFont="1" applyFill="1" applyAlignment="1" applyProtection="1">
      <alignment horizontal="center"/>
      <protection locked="0"/>
    </xf>
    <xf numFmtId="0" fontId="56" fillId="54" borderId="0" xfId="60" applyFont="1" applyFill="1" applyAlignment="1">
      <alignment horizontal="center"/>
    </xf>
    <xf numFmtId="0" fontId="55" fillId="54" borderId="30" xfId="60" applyFont="1" applyFill="1" applyBorder="1" applyProtection="1">
      <protection locked="0"/>
    </xf>
    <xf numFmtId="0" fontId="55" fillId="53" borderId="30" xfId="60" applyFont="1" applyFill="1" applyBorder="1"/>
    <xf numFmtId="0" fontId="55" fillId="53" borderId="0" xfId="60" applyFont="1" applyFill="1" applyAlignment="1" applyProtection="1">
      <alignment horizontal="center"/>
      <protection locked="0"/>
    </xf>
    <xf numFmtId="0" fontId="55" fillId="53" borderId="0" xfId="60" applyFont="1" applyFill="1" applyAlignment="1">
      <alignment horizontal="center"/>
    </xf>
    <xf numFmtId="0" fontId="55" fillId="53" borderId="30" xfId="60" applyFont="1" applyFill="1" applyBorder="1" applyProtection="1">
      <protection locked="0"/>
    </xf>
    <xf numFmtId="0" fontId="55" fillId="53" borderId="29" xfId="60" applyFont="1" applyFill="1" applyBorder="1"/>
    <xf numFmtId="0" fontId="55" fillId="53" borderId="27" xfId="60" applyFont="1" applyFill="1" applyBorder="1" applyAlignment="1" applyProtection="1">
      <alignment horizontal="center"/>
      <protection locked="0"/>
    </xf>
    <xf numFmtId="0" fontId="55" fillId="53" borderId="27" xfId="60" applyFont="1" applyFill="1" applyBorder="1" applyAlignment="1">
      <alignment horizontal="center"/>
    </xf>
    <xf numFmtId="0" fontId="2" fillId="38" borderId="0" xfId="60" applyFill="1"/>
    <xf numFmtId="0" fontId="72" fillId="38" borderId="0" xfId="60" applyFont="1" applyFill="1"/>
    <xf numFmtId="0" fontId="44" fillId="45" borderId="109" xfId="60" applyFont="1" applyFill="1" applyBorder="1" applyAlignment="1" applyProtection="1">
      <alignment horizontal="center" vertical="center" wrapText="1"/>
    </xf>
    <xf numFmtId="0" fontId="56" fillId="34" borderId="25" xfId="60" applyFont="1" applyFill="1" applyBorder="1" applyAlignment="1" applyProtection="1">
      <alignment horizontal="center" vertical="center" wrapText="1"/>
    </xf>
    <xf numFmtId="0" fontId="55" fillId="53" borderId="10" xfId="60" applyFont="1" applyFill="1" applyBorder="1" applyAlignment="1" applyProtection="1">
      <alignment horizontal="center"/>
    </xf>
    <xf numFmtId="0" fontId="44" fillId="34" borderId="25" xfId="60" applyFont="1" applyFill="1" applyBorder="1" applyAlignment="1" applyProtection="1">
      <alignment horizontal="center" vertical="center" wrapText="1"/>
    </xf>
    <xf numFmtId="0" fontId="44" fillId="45" borderId="25" xfId="60" applyFont="1" applyFill="1" applyBorder="1" applyAlignment="1" applyProtection="1">
      <alignment horizontal="center" vertical="center" wrapText="1"/>
    </xf>
    <xf numFmtId="0" fontId="60" fillId="34" borderId="10" xfId="60" applyFont="1" applyFill="1" applyBorder="1" applyAlignment="1" applyProtection="1">
      <alignment horizontal="center" vertical="center" wrapText="1"/>
    </xf>
    <xf numFmtId="168" fontId="44" fillId="0" borderId="10" xfId="60" applyNumberFormat="1" applyFont="1" applyBorder="1" applyAlignment="1" applyProtection="1">
      <alignment horizontal="center" vertical="center"/>
    </xf>
    <xf numFmtId="2" fontId="55" fillId="38" borderId="0" xfId="60" applyNumberFormat="1" applyFont="1" applyFill="1" applyBorder="1"/>
    <xf numFmtId="2" fontId="62" fillId="38" borderId="0" xfId="60" applyNumberFormat="1" applyFont="1" applyFill="1" applyBorder="1"/>
    <xf numFmtId="0" fontId="2" fillId="38" borderId="0" xfId="60" applyFill="1" applyAlignment="1" applyProtection="1">
      <alignment wrapText="1"/>
    </xf>
    <xf numFmtId="0" fontId="2" fillId="38" borderId="0" xfId="60" applyFill="1" applyAlignment="1">
      <alignment wrapText="1"/>
    </xf>
    <xf numFmtId="0" fontId="55" fillId="38" borderId="0" xfId="60" applyFont="1" applyFill="1" applyProtection="1"/>
    <xf numFmtId="0" fontId="55" fillId="38" borderId="0" xfId="60" applyFont="1" applyFill="1" applyAlignment="1" applyProtection="1">
      <alignment horizontal="center" vertical="center"/>
    </xf>
    <xf numFmtId="0" fontId="56" fillId="38" borderId="0" xfId="60" applyFont="1" applyFill="1" applyAlignment="1" applyProtection="1">
      <alignment horizontal="center" vertical="center"/>
    </xf>
    <xf numFmtId="0" fontId="59" fillId="38" borderId="0" xfId="60" applyFont="1" applyFill="1" applyAlignment="1" applyProtection="1">
      <alignment horizontal="center"/>
    </xf>
    <xf numFmtId="0" fontId="56" fillId="38" borderId="0" xfId="60" applyFont="1" applyFill="1" applyAlignment="1" applyProtection="1">
      <alignment horizontal="center"/>
    </xf>
    <xf numFmtId="0" fontId="2" fillId="38" borderId="0" xfId="60" applyFill="1" applyAlignment="1" applyProtection="1">
      <alignment vertical="center"/>
    </xf>
    <xf numFmtId="0" fontId="5" fillId="38" borderId="0" xfId="60" applyFont="1" applyFill="1" applyProtection="1"/>
    <xf numFmtId="0" fontId="56" fillId="38" borderId="0" xfId="60" applyFont="1" applyFill="1" applyAlignment="1" applyProtection="1">
      <alignment horizontal="left" vertical="center"/>
    </xf>
    <xf numFmtId="0" fontId="44" fillId="38" borderId="0" xfId="60" applyFont="1" applyFill="1" applyAlignment="1" applyProtection="1">
      <alignment horizontal="center" vertical="center"/>
    </xf>
    <xf numFmtId="49" fontId="2" fillId="38" borderId="0" xfId="60" applyNumberFormat="1" applyFill="1" applyProtection="1"/>
    <xf numFmtId="0" fontId="2" fillId="38" borderId="0" xfId="60" applyFill="1" applyProtection="1"/>
    <xf numFmtId="0" fontId="61" fillId="38" borderId="0" xfId="60" applyFont="1" applyFill="1" applyAlignment="1" applyProtection="1">
      <alignment vertical="center"/>
    </xf>
    <xf numFmtId="0" fontId="56" fillId="38" borderId="0" xfId="60" applyFont="1" applyFill="1" applyAlignment="1" applyProtection="1">
      <alignment vertical="center" wrapText="1"/>
    </xf>
    <xf numFmtId="0" fontId="56" fillId="38" borderId="0" xfId="60" applyFont="1" applyFill="1" applyAlignment="1" applyProtection="1">
      <alignment vertical="center"/>
    </xf>
    <xf numFmtId="2" fontId="44" fillId="38" borderId="0" xfId="60" applyNumberFormat="1" applyFont="1" applyFill="1" applyAlignment="1" applyProtection="1">
      <alignment horizontal="center" vertical="center"/>
    </xf>
    <xf numFmtId="0" fontId="2" fillId="38" borderId="0" xfId="60" applyFill="1" applyAlignment="1" applyProtection="1">
      <alignment horizontal="center" vertical="center"/>
    </xf>
    <xf numFmtId="168" fontId="44" fillId="38" borderId="0" xfId="60" applyNumberFormat="1" applyFont="1" applyFill="1" applyAlignment="1" applyProtection="1">
      <alignment horizontal="center" vertical="center"/>
    </xf>
    <xf numFmtId="168" fontId="55" fillId="38" borderId="0" xfId="60" applyNumberFormat="1" applyFont="1" applyFill="1" applyAlignment="1" applyProtection="1">
      <alignment horizontal="right" vertical="center"/>
    </xf>
    <xf numFmtId="0" fontId="61" fillId="38" borderId="0" xfId="60" applyFont="1" applyFill="1" applyAlignment="1" applyProtection="1">
      <alignment horizontal="center" vertical="top"/>
    </xf>
    <xf numFmtId="0" fontId="58" fillId="38" borderId="0" xfId="60" applyFont="1" applyFill="1" applyAlignment="1" applyProtection="1">
      <alignment horizontal="left" vertical="center"/>
    </xf>
    <xf numFmtId="0" fontId="4" fillId="38" borderId="16" xfId="0" applyFont="1" applyFill="1" applyBorder="1" applyAlignment="1" applyProtection="1">
      <alignment vertical="center"/>
      <protection hidden="1"/>
    </xf>
    <xf numFmtId="0" fontId="14" fillId="27" borderId="13" xfId="0" applyFont="1" applyFill="1" applyBorder="1" applyAlignment="1" applyProtection="1">
      <alignment horizontal="center" vertical="center"/>
      <protection hidden="1"/>
    </xf>
    <xf numFmtId="0" fontId="5" fillId="0" borderId="30" xfId="0" applyFont="1" applyBorder="1" applyAlignment="1" applyProtection="1">
      <alignment horizontal="center" vertical="center" wrapText="1"/>
      <protection hidden="1"/>
    </xf>
    <xf numFmtId="0" fontId="14" fillId="38" borderId="60" xfId="0" applyFont="1" applyFill="1" applyBorder="1" applyAlignment="1" applyProtection="1">
      <alignment vertical="center"/>
      <protection hidden="1"/>
    </xf>
    <xf numFmtId="168" fontId="14" fillId="27" borderId="33" xfId="0" applyNumberFormat="1" applyFont="1" applyFill="1" applyBorder="1" applyAlignment="1" applyProtection="1">
      <alignment horizontal="center" vertical="center"/>
      <protection hidden="1"/>
    </xf>
    <xf numFmtId="0" fontId="15" fillId="38" borderId="13" xfId="0" applyFont="1" applyFill="1" applyBorder="1" applyAlignment="1" applyProtection="1">
      <alignment horizontal="center" vertical="center"/>
    </xf>
    <xf numFmtId="168" fontId="4" fillId="43" borderId="10" xfId="0" applyNumberFormat="1" applyFont="1" applyFill="1" applyBorder="1" applyAlignment="1" applyProtection="1">
      <alignment horizontal="center" vertical="center" wrapText="1"/>
      <protection hidden="1"/>
    </xf>
    <xf numFmtId="0" fontId="44" fillId="45" borderId="102" xfId="60" applyFont="1" applyFill="1" applyBorder="1" applyAlignment="1" applyProtection="1">
      <alignment horizontal="left" vertical="center"/>
    </xf>
    <xf numFmtId="0" fontId="40" fillId="38" borderId="90" xfId="50" applyFont="1" applyFill="1" applyBorder="1" applyProtection="1">
      <protection hidden="1"/>
    </xf>
    <xf numFmtId="0" fontId="40" fillId="38" borderId="55" xfId="50" applyFont="1" applyFill="1" applyBorder="1" applyProtection="1">
      <protection hidden="1"/>
    </xf>
    <xf numFmtId="0" fontId="55" fillId="38" borderId="0" xfId="60" applyFont="1" applyFill="1" applyAlignment="1" applyProtection="1">
      <alignment horizontal="center"/>
    </xf>
    <xf numFmtId="164" fontId="44" fillId="38" borderId="0" xfId="0" applyNumberFormat="1" applyFont="1" applyFill="1" applyBorder="1" applyAlignment="1" applyProtection="1">
      <alignment horizontal="center" vertical="top"/>
      <protection hidden="1"/>
    </xf>
    <xf numFmtId="164" fontId="44" fillId="38" borderId="0" xfId="0" applyNumberFormat="1" applyFont="1" applyFill="1" applyBorder="1" applyAlignment="1" applyProtection="1">
      <alignment horizontal="center" vertical="center"/>
      <protection hidden="1"/>
    </xf>
    <xf numFmtId="0" fontId="56" fillId="38" borderId="0" xfId="0" applyFont="1" applyFill="1" applyBorder="1" applyAlignment="1" applyProtection="1">
      <alignment horizontal="left" vertical="center" wrapText="1"/>
      <protection hidden="1"/>
    </xf>
    <xf numFmtId="0" fontId="58" fillId="38" borderId="0" xfId="0" applyFont="1" applyFill="1" applyBorder="1" applyAlignment="1" applyProtection="1">
      <alignment horizontal="left" vertical="top" wrapText="1"/>
      <protection hidden="1"/>
    </xf>
    <xf numFmtId="0" fontId="57" fillId="38" borderId="0" xfId="0" applyFont="1" applyFill="1" applyBorder="1" applyAlignment="1" applyProtection="1">
      <alignment horizontal="center" vertical="top" wrapText="1"/>
      <protection hidden="1"/>
    </xf>
    <xf numFmtId="0" fontId="59" fillId="38" borderId="0" xfId="0" applyFont="1" applyFill="1" applyBorder="1" applyAlignment="1" applyProtection="1">
      <protection hidden="1"/>
    </xf>
    <xf numFmtId="9" fontId="59" fillId="38" borderId="0" xfId="0" applyNumberFormat="1" applyFont="1" applyFill="1" applyBorder="1" applyAlignment="1" applyProtection="1">
      <alignment horizontal="center" vertical="center"/>
      <protection hidden="1"/>
    </xf>
    <xf numFmtId="9" fontId="8" fillId="38" borderId="0" xfId="0" applyNumberFormat="1" applyFont="1" applyFill="1" applyBorder="1" applyAlignment="1" applyProtection="1">
      <alignment horizontal="center"/>
      <protection hidden="1"/>
    </xf>
    <xf numFmtId="0" fontId="80" fillId="38" borderId="0" xfId="50" applyFont="1" applyFill="1" applyAlignment="1" applyProtection="1">
      <alignment horizontal="left"/>
      <protection hidden="1"/>
    </xf>
    <xf numFmtId="0" fontId="80" fillId="0" borderId="0" xfId="50" applyFont="1" applyAlignment="1">
      <alignment horizontal="left"/>
    </xf>
    <xf numFmtId="0" fontId="0" fillId="53" borderId="0" xfId="0" applyFill="1" applyProtection="1"/>
    <xf numFmtId="0" fontId="4" fillId="53" borderId="20" xfId="0" applyFont="1" applyFill="1" applyBorder="1" applyAlignment="1" applyProtection="1">
      <alignment horizontal="center" vertical="center"/>
    </xf>
    <xf numFmtId="0" fontId="4" fillId="53" borderId="30" xfId="0" applyFont="1" applyFill="1" applyBorder="1" applyAlignment="1" applyProtection="1">
      <alignment horizontal="center" vertical="center"/>
    </xf>
    <xf numFmtId="0" fontId="0" fillId="53" borderId="20" xfId="0" applyFill="1" applyBorder="1" applyAlignment="1" applyProtection="1">
      <alignment horizontal="center" vertical="center"/>
    </xf>
    <xf numFmtId="0" fontId="0" fillId="53" borderId="30" xfId="0" applyFill="1" applyBorder="1" applyAlignment="1" applyProtection="1">
      <alignment horizontal="center" vertical="center"/>
    </xf>
    <xf numFmtId="0" fontId="0" fillId="53" borderId="83" xfId="0" applyFill="1" applyBorder="1" applyAlignment="1" applyProtection="1">
      <alignment horizontal="center" vertical="center"/>
    </xf>
    <xf numFmtId="0" fontId="0" fillId="53" borderId="80" xfId="0" applyFill="1" applyBorder="1" applyAlignment="1" applyProtection="1">
      <alignment horizontal="center" vertical="center"/>
    </xf>
    <xf numFmtId="0" fontId="0" fillId="53" borderId="20" xfId="0" applyFill="1" applyBorder="1" applyProtection="1"/>
    <xf numFmtId="0" fontId="0" fillId="53" borderId="30" xfId="0" applyFill="1" applyBorder="1" applyProtection="1"/>
    <xf numFmtId="0" fontId="36" fillId="53" borderId="20" xfId="0" applyFont="1" applyFill="1" applyBorder="1" applyProtection="1"/>
    <xf numFmtId="0" fontId="4" fillId="53" borderId="30" xfId="0" applyFont="1" applyFill="1" applyBorder="1" applyProtection="1"/>
    <xf numFmtId="0" fontId="52" fillId="53" borderId="20" xfId="0" applyFont="1" applyFill="1" applyBorder="1" applyProtection="1"/>
    <xf numFmtId="0" fontId="52" fillId="53" borderId="30" xfId="0" applyFont="1" applyFill="1" applyBorder="1" applyProtection="1"/>
    <xf numFmtId="0" fontId="45" fillId="53" borderId="30" xfId="0" applyFont="1" applyFill="1" applyBorder="1" applyProtection="1"/>
    <xf numFmtId="0" fontId="0" fillId="53" borderId="28" xfId="0" applyFill="1" applyBorder="1" applyProtection="1"/>
    <xf numFmtId="0" fontId="0" fillId="53" borderId="29" xfId="0" applyFill="1" applyBorder="1" applyProtection="1"/>
    <xf numFmtId="0" fontId="36" fillId="53" borderId="0" xfId="0" applyFont="1" applyFill="1" applyProtection="1"/>
    <xf numFmtId="0" fontId="6" fillId="53" borderId="0" xfId="0" applyFont="1" applyFill="1" applyAlignment="1" applyProtection="1">
      <alignment horizontal="left" vertical="center"/>
    </xf>
    <xf numFmtId="0" fontId="4" fillId="53" borderId="0" xfId="0" applyFont="1" applyFill="1" applyAlignment="1" applyProtection="1">
      <alignment vertical="center"/>
    </xf>
    <xf numFmtId="0" fontId="4" fillId="53" borderId="0" xfId="0" applyFont="1" applyFill="1" applyProtection="1"/>
    <xf numFmtId="168" fontId="0" fillId="53" borderId="0" xfId="0" applyNumberFormat="1" applyFill="1" applyAlignment="1" applyProtection="1">
      <alignment horizontal="center"/>
    </xf>
    <xf numFmtId="0" fontId="52" fillId="53" borderId="0" xfId="0" applyFont="1" applyFill="1" applyProtection="1"/>
    <xf numFmtId="0" fontId="4" fillId="38" borderId="0" xfId="0" applyFont="1" applyFill="1" applyAlignment="1" applyProtection="1">
      <alignment horizontal="center" vertical="center"/>
      <protection hidden="1"/>
    </xf>
    <xf numFmtId="0" fontId="1" fillId="38" borderId="0" xfId="60" applyFont="1" applyFill="1" applyAlignment="1" applyProtection="1">
      <alignment wrapText="1"/>
    </xf>
    <xf numFmtId="0" fontId="44" fillId="45" borderId="11" xfId="60" applyFont="1" applyFill="1" applyBorder="1" applyAlignment="1" applyProtection="1">
      <alignment horizontal="center" vertical="center" wrapText="1"/>
    </xf>
    <xf numFmtId="0" fontId="44" fillId="45" borderId="10" xfId="60" applyFont="1" applyFill="1" applyBorder="1" applyAlignment="1" applyProtection="1">
      <alignment horizontal="center" vertical="center" wrapText="1"/>
    </xf>
    <xf numFmtId="0" fontId="61" fillId="38" borderId="0" xfId="0" applyFont="1" applyFill="1" applyBorder="1" applyAlignment="1" applyProtection="1">
      <alignment vertical="top" wrapText="1"/>
      <protection hidden="1"/>
    </xf>
    <xf numFmtId="0" fontId="44" fillId="34" borderId="10" xfId="60" applyFont="1" applyFill="1" applyBorder="1" applyAlignment="1" applyProtection="1">
      <alignment horizontal="center" vertical="center" wrapText="1"/>
    </xf>
    <xf numFmtId="0" fontId="44" fillId="38" borderId="0" xfId="60" applyFont="1" applyFill="1" applyBorder="1" applyAlignment="1" applyProtection="1">
      <alignment horizontal="center" vertical="center" wrapText="1"/>
    </xf>
    <xf numFmtId="0" fontId="56" fillId="0" borderId="0" xfId="60" applyFont="1" applyAlignment="1" applyProtection="1">
      <alignment horizontal="center"/>
    </xf>
    <xf numFmtId="0" fontId="62" fillId="0" borderId="0" xfId="60" applyFont="1" applyAlignment="1" applyProtection="1">
      <alignment horizontal="center"/>
    </xf>
    <xf numFmtId="0" fontId="2" fillId="0" borderId="0" xfId="60" applyProtection="1"/>
    <xf numFmtId="0" fontId="74" fillId="0" borderId="0" xfId="60" applyFont="1" applyProtection="1"/>
    <xf numFmtId="0" fontId="74" fillId="0" borderId="0" xfId="60" applyFont="1" applyAlignment="1" applyProtection="1">
      <alignment horizontal="center"/>
    </xf>
    <xf numFmtId="0" fontId="55" fillId="0" borderId="0" xfId="60" applyFont="1" applyProtection="1"/>
    <xf numFmtId="0" fontId="55" fillId="0" borderId="0" xfId="60" applyFont="1" applyAlignment="1" applyProtection="1">
      <alignment horizontal="center" vertical="center"/>
    </xf>
    <xf numFmtId="0" fontId="56" fillId="0" borderId="0" xfId="60" applyFont="1" applyAlignment="1" applyProtection="1">
      <alignment horizontal="center" vertical="center"/>
    </xf>
    <xf numFmtId="0" fontId="55" fillId="0" borderId="0" xfId="60" applyFont="1" applyAlignment="1" applyProtection="1">
      <alignment horizontal="left" vertical="center"/>
    </xf>
    <xf numFmtId="0" fontId="55" fillId="0" borderId="0" xfId="60" applyFont="1" applyAlignment="1" applyProtection="1">
      <alignment horizontal="right" vertical="center"/>
    </xf>
    <xf numFmtId="0" fontId="56" fillId="0" borderId="0" xfId="60" applyFont="1" applyProtection="1"/>
    <xf numFmtId="0" fontId="56" fillId="0" borderId="0" xfId="60" applyFont="1" applyAlignment="1" applyProtection="1">
      <alignment horizontal="right"/>
    </xf>
    <xf numFmtId="168" fontId="56" fillId="0" borderId="0" xfId="60" applyNumberFormat="1" applyFont="1" applyProtection="1"/>
    <xf numFmtId="0" fontId="56" fillId="38" borderId="0" xfId="60" applyFont="1" applyFill="1" applyProtection="1"/>
    <xf numFmtId="0" fontId="44" fillId="38" borderId="0" xfId="60" applyFont="1" applyFill="1" applyAlignment="1" applyProtection="1">
      <alignment horizontal="center"/>
    </xf>
    <xf numFmtId="0" fontId="55" fillId="0" borderId="0" xfId="60" quotePrefix="1" applyFont="1" applyProtection="1"/>
    <xf numFmtId="0" fontId="59" fillId="0" borderId="0" xfId="60" applyFont="1" applyProtection="1"/>
    <xf numFmtId="0" fontId="72" fillId="38" borderId="0" xfId="60" applyFont="1" applyFill="1" applyProtection="1"/>
    <xf numFmtId="2" fontId="44" fillId="38" borderId="0" xfId="60" applyNumberFormat="1" applyFont="1" applyFill="1" applyAlignment="1" applyProtection="1">
      <alignment horizontal="center" vertical="top"/>
    </xf>
    <xf numFmtId="0" fontId="44" fillId="38" borderId="0" xfId="60" applyFont="1" applyFill="1" applyAlignment="1" applyProtection="1">
      <alignment horizontal="center" vertical="top"/>
    </xf>
    <xf numFmtId="168" fontId="44" fillId="38" borderId="0" xfId="60" applyNumberFormat="1" applyFont="1" applyFill="1" applyAlignment="1" applyProtection="1">
      <alignment horizontal="center" vertical="top"/>
    </xf>
    <xf numFmtId="168" fontId="44" fillId="38" borderId="0" xfId="60" applyNumberFormat="1" applyFont="1" applyFill="1" applyAlignment="1" applyProtection="1">
      <alignment horizontal="center"/>
    </xf>
    <xf numFmtId="0" fontId="55" fillId="24" borderId="0" xfId="60" applyFont="1" applyFill="1" applyProtection="1"/>
    <xf numFmtId="0" fontId="72" fillId="0" borderId="0" xfId="60" applyFont="1" applyProtection="1"/>
    <xf numFmtId="0" fontId="61" fillId="38" borderId="0" xfId="60" applyFont="1" applyFill="1" applyAlignment="1" applyProtection="1">
      <alignment horizontal="center" wrapText="1"/>
    </xf>
    <xf numFmtId="0" fontId="55" fillId="24" borderId="0" xfId="60" applyFont="1" applyFill="1" applyAlignment="1" applyProtection="1">
      <alignment horizontal="center" vertical="center"/>
    </xf>
    <xf numFmtId="0" fontId="36" fillId="0" borderId="0" xfId="60" applyFont="1" applyProtection="1"/>
    <xf numFmtId="0" fontId="2" fillId="53" borderId="10" xfId="60" applyFill="1" applyBorder="1" applyProtection="1"/>
    <xf numFmtId="0" fontId="2" fillId="53" borderId="12" xfId="60" applyFill="1" applyBorder="1" applyProtection="1"/>
    <xf numFmtId="0" fontId="2" fillId="53" borderId="15" xfId="60" applyFill="1" applyBorder="1" applyProtection="1"/>
    <xf numFmtId="0" fontId="2" fillId="53" borderId="11" xfId="60" applyFill="1" applyBorder="1" applyProtection="1"/>
    <xf numFmtId="0" fontId="55" fillId="53" borderId="11" xfId="60" applyFont="1" applyFill="1" applyBorder="1" applyProtection="1"/>
    <xf numFmtId="0" fontId="2" fillId="24" borderId="0" xfId="60" applyFill="1" applyProtection="1"/>
    <xf numFmtId="0" fontId="15" fillId="38" borderId="0" xfId="60" applyFont="1" applyFill="1" applyProtection="1"/>
    <xf numFmtId="0" fontId="2" fillId="53" borderId="10" xfId="60" applyFill="1" applyBorder="1" applyAlignment="1" applyProtection="1">
      <alignment wrapText="1"/>
    </xf>
    <xf numFmtId="0" fontId="36" fillId="38" borderId="0" xfId="60" applyFont="1" applyFill="1" applyAlignment="1" applyProtection="1">
      <alignment vertical="center" wrapText="1"/>
    </xf>
    <xf numFmtId="0" fontId="57" fillId="32" borderId="0" xfId="60" applyFont="1" applyFill="1" applyAlignment="1" applyProtection="1">
      <alignment horizontal="center"/>
    </xf>
    <xf numFmtId="0" fontId="2" fillId="53" borderId="20" xfId="60" applyFill="1" applyBorder="1" applyProtection="1"/>
    <xf numFmtId="0" fontId="2" fillId="53" borderId="0" xfId="60" applyFill="1" applyProtection="1"/>
    <xf numFmtId="0" fontId="2" fillId="53" borderId="30" xfId="60" applyFill="1" applyBorder="1" applyProtection="1"/>
    <xf numFmtId="0" fontId="2" fillId="53" borderId="28" xfId="60" applyFill="1" applyBorder="1" applyProtection="1"/>
    <xf numFmtId="0" fontId="2" fillId="53" borderId="27" xfId="60" applyFill="1" applyBorder="1" applyProtection="1"/>
    <xf numFmtId="0" fontId="2" fillId="53" borderId="29" xfId="60" applyFill="1" applyBorder="1" applyProtection="1"/>
    <xf numFmtId="0" fontId="62" fillId="38" borderId="0" xfId="60" applyFont="1" applyFill="1" applyAlignment="1" applyProtection="1">
      <alignment horizontal="center" vertical="center"/>
    </xf>
    <xf numFmtId="0" fontId="55" fillId="38" borderId="0" xfId="60" applyFont="1" applyFill="1" applyAlignment="1" applyProtection="1">
      <alignment vertical="top"/>
    </xf>
    <xf numFmtId="172" fontId="2" fillId="0" borderId="0" xfId="60" applyNumberFormat="1" applyProtection="1"/>
    <xf numFmtId="0" fontId="44" fillId="38" borderId="0" xfId="60" applyFont="1" applyFill="1" applyAlignment="1" applyProtection="1">
      <alignment horizontal="center" wrapText="1"/>
    </xf>
    <xf numFmtId="172" fontId="62" fillId="38" borderId="0" xfId="60" applyNumberFormat="1" applyFont="1" applyFill="1" applyAlignment="1" applyProtection="1">
      <alignment horizontal="center"/>
    </xf>
    <xf numFmtId="0" fontId="55" fillId="32" borderId="0" xfId="60" applyFont="1" applyFill="1" applyProtection="1"/>
    <xf numFmtId="0" fontId="55" fillId="53" borderId="0" xfId="60" applyFont="1" applyFill="1" applyProtection="1"/>
    <xf numFmtId="0" fontId="55" fillId="53" borderId="27" xfId="60" applyFont="1" applyFill="1" applyBorder="1" applyProtection="1"/>
    <xf numFmtId="0" fontId="44" fillId="38" borderId="0" xfId="0" applyFont="1" applyFill="1" applyBorder="1" applyAlignment="1" applyProtection="1">
      <alignment horizontal="center" vertical="center"/>
    </xf>
    <xf numFmtId="0" fontId="56" fillId="38" borderId="0" xfId="0" applyFont="1" applyFill="1" applyBorder="1" applyAlignment="1" applyProtection="1">
      <alignment vertical="center"/>
      <protection hidden="1"/>
    </xf>
    <xf numFmtId="0" fontId="44" fillId="39" borderId="10" xfId="0" applyFont="1" applyFill="1" applyBorder="1" applyAlignment="1" applyProtection="1">
      <alignment horizontal="center" vertical="center" wrapText="1"/>
    </xf>
    <xf numFmtId="0" fontId="80" fillId="38" borderId="0" xfId="50" applyFont="1" applyFill="1" applyProtection="1">
      <protection hidden="1"/>
    </xf>
    <xf numFmtId="0" fontId="80" fillId="0" borderId="0" xfId="50" applyFont="1"/>
    <xf numFmtId="2" fontId="61" fillId="56" borderId="10" xfId="60" applyNumberFormat="1" applyFont="1" applyFill="1" applyBorder="1" applyAlignment="1" applyProtection="1">
      <alignment horizontal="center" vertical="center"/>
    </xf>
    <xf numFmtId="0" fontId="0" fillId="57" borderId="10" xfId="0" applyFill="1" applyBorder="1" applyAlignment="1">
      <alignment wrapText="1"/>
    </xf>
    <xf numFmtId="0" fontId="0" fillId="57" borderId="22" xfId="0" applyFill="1" applyBorder="1"/>
    <xf numFmtId="0" fontId="0" fillId="57" borderId="39" xfId="0" applyFill="1" applyBorder="1"/>
    <xf numFmtId="0" fontId="0" fillId="57" borderId="25" xfId="0" applyFill="1" applyBorder="1"/>
    <xf numFmtId="0" fontId="0" fillId="53" borderId="22" xfId="0" applyFill="1" applyBorder="1"/>
    <xf numFmtId="0" fontId="55" fillId="53" borderId="20" xfId="60" applyFont="1" applyFill="1" applyBorder="1" applyProtection="1"/>
    <xf numFmtId="0" fontId="55" fillId="53" borderId="28" xfId="60" applyFont="1" applyFill="1" applyBorder="1" applyProtection="1"/>
    <xf numFmtId="0" fontId="2" fillId="0" borderId="0" xfId="60" applyFill="1"/>
    <xf numFmtId="0" fontId="2" fillId="0" borderId="0" xfId="60" applyFill="1" applyProtection="1"/>
    <xf numFmtId="0" fontId="72" fillId="0" borderId="0" xfId="60" applyFont="1" applyFill="1"/>
    <xf numFmtId="0" fontId="56" fillId="0" borderId="0" xfId="60" applyFont="1" applyFill="1" applyAlignment="1" applyProtection="1">
      <alignment horizontal="center" vertical="center" wrapText="1"/>
      <protection locked="0"/>
    </xf>
    <xf numFmtId="0" fontId="2" fillId="0" borderId="0" xfId="60" applyFill="1" applyAlignment="1">
      <alignment vertical="center" wrapText="1"/>
    </xf>
    <xf numFmtId="0" fontId="5" fillId="0" borderId="0" xfId="60" applyFont="1" applyFill="1" applyAlignment="1">
      <alignment wrapText="1"/>
    </xf>
    <xf numFmtId="0" fontId="56" fillId="0" borderId="0" xfId="60" applyFont="1" applyFill="1" applyAlignment="1" applyProtection="1">
      <alignment horizontal="left" vertical="center"/>
      <protection locked="0"/>
    </xf>
    <xf numFmtId="0" fontId="55" fillId="38" borderId="39" xfId="60" applyFont="1" applyFill="1" applyBorder="1" applyAlignment="1" applyProtection="1">
      <alignment horizontal="center" vertical="center"/>
    </xf>
    <xf numFmtId="0" fontId="55" fillId="38" borderId="39" xfId="60" applyFont="1" applyFill="1" applyBorder="1" applyProtection="1"/>
    <xf numFmtId="0" fontId="40" fillId="38" borderId="0" xfId="50" applyFont="1" applyFill="1" applyAlignment="1">
      <alignment wrapText="1"/>
    </xf>
    <xf numFmtId="0" fontId="40" fillId="0" borderId="0" xfId="50" applyFont="1" applyAlignment="1">
      <alignment wrapText="1"/>
    </xf>
    <xf numFmtId="0" fontId="80" fillId="38" borderId="90" xfId="50" applyFont="1" applyFill="1" applyBorder="1" applyProtection="1">
      <protection hidden="1"/>
    </xf>
    <xf numFmtId="0" fontId="80" fillId="38" borderId="55" xfId="50" applyFont="1" applyFill="1" applyBorder="1" applyProtection="1">
      <protection hidden="1"/>
    </xf>
    <xf numFmtId="0" fontId="40" fillId="38" borderId="90" xfId="50" applyFont="1" applyFill="1" applyBorder="1" applyAlignment="1" applyProtection="1">
      <alignment vertical="top" wrapText="1"/>
      <protection hidden="1"/>
    </xf>
    <xf numFmtId="0" fontId="40" fillId="38" borderId="55" xfId="50" applyFont="1" applyFill="1" applyBorder="1" applyAlignment="1" applyProtection="1">
      <alignment vertical="top" wrapText="1"/>
      <protection hidden="1"/>
    </xf>
    <xf numFmtId="1" fontId="61" fillId="41" borderId="10" xfId="60" applyNumberFormat="1" applyFont="1" applyFill="1" applyBorder="1" applyAlignment="1" applyProtection="1">
      <alignment horizontal="center" vertical="center"/>
      <protection locked="0"/>
    </xf>
    <xf numFmtId="14" fontId="61" fillId="41" borderId="10" xfId="60" applyNumberFormat="1" applyFont="1" applyFill="1" applyBorder="1" applyAlignment="1" applyProtection="1">
      <alignment horizontal="center" vertical="center"/>
      <protection locked="0"/>
    </xf>
    <xf numFmtId="1" fontId="61" fillId="41" borderId="22" xfId="60" applyNumberFormat="1" applyFont="1" applyFill="1" applyBorder="1" applyAlignment="1" applyProtection="1">
      <alignment horizontal="center" vertical="center"/>
      <protection locked="0"/>
    </xf>
    <xf numFmtId="14" fontId="61" fillId="41" borderId="22" xfId="60" applyNumberFormat="1" applyFont="1" applyFill="1" applyBorder="1" applyAlignment="1" applyProtection="1">
      <alignment horizontal="center" vertical="center"/>
      <protection locked="0"/>
    </xf>
    <xf numFmtId="0" fontId="58" fillId="41" borderId="10" xfId="60" applyFont="1" applyFill="1" applyBorder="1" applyAlignment="1" applyProtection="1">
      <alignment horizontal="center" vertical="center" wrapText="1"/>
      <protection locked="0"/>
    </xf>
    <xf numFmtId="49" fontId="59" fillId="41" borderId="10" xfId="60" applyNumberFormat="1" applyFont="1" applyFill="1" applyBorder="1" applyAlignment="1" applyProtection="1">
      <alignment horizontal="center" vertical="center" wrapText="1"/>
      <protection locked="0"/>
    </xf>
    <xf numFmtId="0" fontId="59" fillId="41" borderId="10" xfId="60" applyFont="1" applyFill="1" applyBorder="1" applyAlignment="1" applyProtection="1">
      <alignment horizontal="center" vertical="center" wrapText="1"/>
      <protection locked="0"/>
    </xf>
    <xf numFmtId="0" fontId="59" fillId="41" borderId="12" xfId="60" applyFont="1" applyFill="1" applyBorder="1" applyAlignment="1" applyProtection="1">
      <alignment horizontal="center" vertical="center" wrapText="1"/>
      <protection locked="0"/>
    </xf>
    <xf numFmtId="168" fontId="44" fillId="41" borderId="11" xfId="60" applyNumberFormat="1" applyFont="1" applyFill="1" applyBorder="1" applyAlignment="1" applyProtection="1">
      <alignment horizontal="center" vertical="center"/>
      <protection locked="0"/>
    </xf>
    <xf numFmtId="168" fontId="44" fillId="41" borderId="10" xfId="60" applyNumberFormat="1" applyFont="1" applyFill="1" applyBorder="1" applyAlignment="1" applyProtection="1">
      <alignment horizontal="center" vertical="center"/>
      <protection locked="0"/>
    </xf>
    <xf numFmtId="168" fontId="44" fillId="41" borderId="22" xfId="60" applyNumberFormat="1" applyFont="1" applyFill="1" applyBorder="1" applyAlignment="1" applyProtection="1">
      <alignment horizontal="center" vertical="center"/>
      <protection locked="0"/>
    </xf>
    <xf numFmtId="168" fontId="62" fillId="53" borderId="22" xfId="60" applyNumberFormat="1" applyFont="1" applyFill="1" applyBorder="1" applyAlignment="1" applyProtection="1">
      <alignment horizontal="center" vertical="center"/>
    </xf>
    <xf numFmtId="168" fontId="61" fillId="56" borderId="10" xfId="60" applyNumberFormat="1" applyFont="1" applyFill="1" applyBorder="1" applyAlignment="1" applyProtection="1">
      <alignment horizontal="center" vertical="center"/>
    </xf>
    <xf numFmtId="168" fontId="55" fillId="41" borderId="10" xfId="60" applyNumberFormat="1" applyFont="1" applyFill="1" applyBorder="1" applyAlignment="1" applyProtection="1">
      <alignment horizontal="center" vertical="center"/>
      <protection locked="0"/>
    </xf>
    <xf numFmtId="168" fontId="55" fillId="53" borderId="10" xfId="60" applyNumberFormat="1" applyFont="1" applyFill="1" applyBorder="1" applyAlignment="1">
      <alignment horizontal="center" vertical="center"/>
    </xf>
    <xf numFmtId="168" fontId="55" fillId="41" borderId="22" xfId="60" applyNumberFormat="1" applyFont="1" applyFill="1" applyBorder="1" applyAlignment="1" applyProtection="1">
      <alignment horizontal="center" vertical="center"/>
      <protection locked="0"/>
    </xf>
    <xf numFmtId="168" fontId="55" fillId="41" borderId="10" xfId="60" applyNumberFormat="1" applyFont="1" applyFill="1" applyBorder="1" applyAlignment="1" applyProtection="1">
      <alignment horizontal="center" vertical="center" wrapText="1"/>
      <protection locked="0"/>
    </xf>
    <xf numFmtId="168" fontId="62" fillId="53" borderId="11" xfId="60" applyNumberFormat="1" applyFont="1" applyFill="1" applyBorder="1" applyAlignment="1">
      <alignment horizontal="center" vertical="center"/>
    </xf>
    <xf numFmtId="168" fontId="55" fillId="53" borderId="10" xfId="60" applyNumberFormat="1" applyFont="1" applyFill="1" applyBorder="1" applyAlignment="1" applyProtection="1">
      <alignment horizontal="center" vertical="center"/>
    </xf>
    <xf numFmtId="168" fontId="62" fillId="53" borderId="11" xfId="60" applyNumberFormat="1" applyFont="1" applyFill="1" applyBorder="1" applyAlignment="1" applyProtection="1">
      <alignment horizontal="center" vertical="center"/>
    </xf>
    <xf numFmtId="168" fontId="73" fillId="53" borderId="104" xfId="60" applyNumberFormat="1" applyFont="1" applyFill="1" applyBorder="1"/>
    <xf numFmtId="0" fontId="55" fillId="41" borderId="10" xfId="60" applyFont="1" applyFill="1" applyBorder="1" applyAlignment="1" applyProtection="1">
      <alignment horizontal="left" vertical="center" wrapText="1"/>
      <protection locked="0"/>
    </xf>
    <xf numFmtId="0" fontId="55" fillId="41" borderId="22" xfId="60" applyFont="1" applyFill="1" applyBorder="1" applyAlignment="1" applyProtection="1">
      <alignment horizontal="left" vertical="center" wrapText="1"/>
      <protection locked="0"/>
    </xf>
    <xf numFmtId="168" fontId="44" fillId="53" borderId="15" xfId="60" applyNumberFormat="1" applyFont="1" applyFill="1" applyBorder="1" applyAlignment="1" applyProtection="1">
      <alignment horizontal="center" vertical="top" wrapText="1"/>
    </xf>
    <xf numFmtId="0" fontId="40" fillId="38" borderId="0" xfId="50" applyFont="1" applyFill="1" applyAlignment="1" applyProtection="1">
      <alignment vertical="top" wrapText="1"/>
      <protection hidden="1"/>
    </xf>
    <xf numFmtId="168" fontId="61" fillId="41" borderId="11" xfId="60" applyNumberFormat="1" applyFont="1" applyFill="1" applyBorder="1" applyAlignment="1" applyProtection="1">
      <alignment horizontal="center" vertical="center"/>
      <protection locked="0"/>
    </xf>
    <xf numFmtId="168" fontId="61" fillId="41" borderId="10" xfId="60" applyNumberFormat="1" applyFont="1" applyFill="1" applyBorder="1" applyAlignment="1" applyProtection="1">
      <alignment horizontal="center" vertical="center"/>
      <protection locked="0"/>
    </xf>
    <xf numFmtId="0" fontId="6" fillId="26" borderId="16" xfId="0" applyFont="1" applyFill="1" applyBorder="1" applyAlignment="1" applyProtection="1">
      <alignment horizontal="left" vertical="center"/>
      <protection hidden="1"/>
    </xf>
    <xf numFmtId="168" fontId="14" fillId="27" borderId="14" xfId="0" applyNumberFormat="1" applyFont="1" applyFill="1" applyBorder="1" applyAlignment="1" applyProtection="1">
      <alignment horizontal="center"/>
      <protection hidden="1"/>
    </xf>
    <xf numFmtId="168" fontId="14" fillId="27" borderId="33" xfId="0" applyNumberFormat="1" applyFont="1" applyFill="1" applyBorder="1" applyAlignment="1" applyProtection="1">
      <alignment horizontal="center"/>
      <protection hidden="1"/>
    </xf>
    <xf numFmtId="168" fontId="14" fillId="27" borderId="61" xfId="0" applyNumberFormat="1" applyFont="1" applyFill="1" applyBorder="1" applyAlignment="1" applyProtection="1">
      <alignment horizontal="center"/>
      <protection hidden="1"/>
    </xf>
    <xf numFmtId="168" fontId="15" fillId="27" borderId="14" xfId="0" applyNumberFormat="1" applyFont="1" applyFill="1" applyBorder="1" applyAlignment="1" applyProtection="1">
      <alignment horizontal="center"/>
      <protection hidden="1"/>
    </xf>
    <xf numFmtId="0" fontId="15" fillId="27" borderId="13" xfId="0" applyNumberFormat="1" applyFont="1" applyFill="1" applyBorder="1" applyAlignment="1" applyProtection="1">
      <alignment horizontal="center"/>
      <protection hidden="1"/>
    </xf>
    <xf numFmtId="0" fontId="59" fillId="38" borderId="56" xfId="0" applyFont="1" applyFill="1" applyBorder="1" applyAlignment="1" applyProtection="1">
      <alignment horizontal="center" vertical="center"/>
      <protection hidden="1"/>
    </xf>
    <xf numFmtId="0" fontId="5" fillId="0" borderId="12" xfId="0" applyFont="1" applyFill="1" applyBorder="1" applyAlignment="1">
      <alignment horizontal="left"/>
    </xf>
    <xf numFmtId="0" fontId="0" fillId="0" borderId="11" xfId="0" applyBorder="1" applyAlignment="1"/>
    <xf numFmtId="0" fontId="0" fillId="27" borderId="12" xfId="0" applyFill="1" applyBorder="1" applyAlignment="1"/>
    <xf numFmtId="0" fontId="0" fillId="27" borderId="11" xfId="0" applyFill="1" applyBorder="1" applyAlignment="1"/>
    <xf numFmtId="0" fontId="7" fillId="30" borderId="10" xfId="0" applyFont="1" applyFill="1" applyBorder="1" applyAlignment="1">
      <alignment horizontal="center" vertical="top" wrapText="1"/>
    </xf>
    <xf numFmtId="0" fontId="0" fillId="0" borderId="10" xfId="0" applyBorder="1" applyAlignment="1"/>
    <xf numFmtId="0" fontId="8" fillId="29" borderId="19" xfId="0" applyFont="1" applyFill="1" applyBorder="1" applyAlignment="1">
      <alignment horizontal="center" vertical="center" wrapText="1"/>
    </xf>
    <xf numFmtId="0" fontId="0" fillId="0" borderId="21" xfId="0" applyBorder="1" applyAlignment="1"/>
    <xf numFmtId="0" fontId="0" fillId="0" borderId="28" xfId="0" applyBorder="1" applyAlignment="1"/>
    <xf numFmtId="0" fontId="0" fillId="0" borderId="29" xfId="0" applyBorder="1" applyAlignment="1"/>
    <xf numFmtId="0" fontId="0" fillId="36" borderId="19" xfId="0" applyFill="1" applyBorder="1" applyAlignment="1"/>
    <xf numFmtId="0" fontId="0" fillId="36" borderId="21" xfId="0" applyFill="1" applyBorder="1" applyAlignment="1"/>
    <xf numFmtId="0" fontId="0" fillId="36" borderId="20" xfId="0" applyFill="1" applyBorder="1" applyAlignment="1"/>
    <xf numFmtId="0" fontId="0" fillId="36" borderId="30" xfId="0" applyFill="1" applyBorder="1" applyAlignment="1"/>
    <xf numFmtId="0" fontId="0" fillId="36" borderId="28" xfId="0" applyFill="1" applyBorder="1" applyAlignment="1"/>
    <xf numFmtId="0" fontId="0" fillId="36" borderId="29" xfId="0" applyFill="1" applyBorder="1" applyAlignment="1"/>
    <xf numFmtId="0" fontId="80" fillId="38" borderId="90" xfId="50" applyFont="1" applyFill="1" applyBorder="1" applyAlignment="1" applyProtection="1">
      <alignment horizontal="left" vertical="center"/>
      <protection hidden="1"/>
    </xf>
    <xf numFmtId="0" fontId="80" fillId="38" borderId="0" xfId="50" applyFont="1" applyFill="1" applyAlignment="1" applyProtection="1">
      <alignment horizontal="left" vertical="center"/>
      <protection hidden="1"/>
    </xf>
    <xf numFmtId="0" fontId="80" fillId="38" borderId="55" xfId="50" applyFont="1" applyFill="1" applyBorder="1" applyAlignment="1" applyProtection="1">
      <alignment horizontal="left" vertical="center"/>
      <protection hidden="1"/>
    </xf>
    <xf numFmtId="0" fontId="80" fillId="38" borderId="90" xfId="50" applyFont="1" applyFill="1" applyBorder="1" applyAlignment="1" applyProtection="1">
      <alignment horizontal="left" vertical="center" wrapText="1"/>
      <protection hidden="1"/>
    </xf>
    <xf numFmtId="0" fontId="80" fillId="38" borderId="0" xfId="50" applyFont="1" applyFill="1" applyAlignment="1" applyProtection="1">
      <alignment horizontal="left" vertical="center" wrapText="1"/>
      <protection hidden="1"/>
    </xf>
    <xf numFmtId="0" fontId="80" fillId="38" borderId="55" xfId="50" applyFont="1" applyFill="1" applyBorder="1" applyAlignment="1" applyProtection="1">
      <alignment horizontal="left" vertical="center" wrapText="1"/>
      <protection hidden="1"/>
    </xf>
    <xf numFmtId="0" fontId="87" fillId="50" borderId="51" xfId="50" applyFont="1" applyFill="1" applyBorder="1" applyAlignment="1" applyProtection="1">
      <alignment horizontal="center" vertical="center" wrapText="1"/>
      <protection hidden="1"/>
    </xf>
    <xf numFmtId="0" fontId="87" fillId="50" borderId="52" xfId="50" applyFont="1" applyFill="1" applyBorder="1" applyAlignment="1" applyProtection="1">
      <alignment horizontal="center" vertical="center"/>
      <protection hidden="1"/>
    </xf>
    <xf numFmtId="0" fontId="87" fillId="50" borderId="53" xfId="50" applyFont="1" applyFill="1" applyBorder="1" applyAlignment="1" applyProtection="1">
      <alignment horizontal="center" vertical="center"/>
      <protection hidden="1"/>
    </xf>
    <xf numFmtId="0" fontId="80" fillId="38" borderId="0" xfId="50" applyFont="1" applyFill="1" applyAlignment="1" applyProtection="1">
      <alignment horizontal="left" vertical="top" wrapText="1"/>
      <protection hidden="1"/>
    </xf>
    <xf numFmtId="0" fontId="40" fillId="38" borderId="0" xfId="50" applyFont="1" applyFill="1" applyAlignment="1" applyProtection="1">
      <alignment horizontal="left" vertical="top" wrapText="1"/>
      <protection hidden="1"/>
    </xf>
    <xf numFmtId="0" fontId="40" fillId="38" borderId="55" xfId="50" applyFont="1" applyFill="1" applyBorder="1" applyAlignment="1" applyProtection="1">
      <alignment horizontal="left" vertical="top" wrapText="1"/>
      <protection hidden="1"/>
    </xf>
    <xf numFmtId="0" fontId="81" fillId="38" borderId="90" xfId="50" applyFont="1" applyFill="1" applyBorder="1" applyProtection="1">
      <protection hidden="1"/>
    </xf>
    <xf numFmtId="0" fontId="81" fillId="38" borderId="0" xfId="50" applyFont="1" applyFill="1" applyProtection="1">
      <protection hidden="1"/>
    </xf>
    <xf numFmtId="0" fontId="81" fillId="38" borderId="55" xfId="50" applyFont="1" applyFill="1" applyBorder="1" applyProtection="1">
      <protection hidden="1"/>
    </xf>
    <xf numFmtId="0" fontId="82" fillId="50" borderId="89" xfId="50" applyFont="1" applyFill="1" applyBorder="1" applyAlignment="1" applyProtection="1">
      <alignment vertical="center"/>
      <protection hidden="1"/>
    </xf>
    <xf numFmtId="0" fontId="82" fillId="50" borderId="88" xfId="50" applyFont="1" applyFill="1" applyBorder="1" applyAlignment="1" applyProtection="1">
      <alignment vertical="center"/>
      <protection hidden="1"/>
    </xf>
    <xf numFmtId="0" fontId="82" fillId="50" borderId="54" xfId="50" applyFont="1" applyFill="1" applyBorder="1" applyAlignment="1" applyProtection="1">
      <alignment vertical="center"/>
      <protection hidden="1"/>
    </xf>
    <xf numFmtId="0" fontId="83" fillId="38" borderId="85" xfId="50" applyFont="1" applyFill="1" applyBorder="1" applyAlignment="1" applyProtection="1">
      <alignment horizontal="left" vertical="center"/>
      <protection hidden="1"/>
    </xf>
    <xf numFmtId="0" fontId="83" fillId="38" borderId="81" xfId="50" applyFont="1" applyFill="1" applyBorder="1" applyAlignment="1" applyProtection="1">
      <alignment horizontal="left" vertical="center"/>
      <protection hidden="1"/>
    </xf>
    <xf numFmtId="0" fontId="83" fillId="38" borderId="86" xfId="50" applyFont="1" applyFill="1" applyBorder="1" applyAlignment="1" applyProtection="1">
      <alignment horizontal="left" vertical="center"/>
      <protection hidden="1"/>
    </xf>
    <xf numFmtId="0" fontId="80" fillId="38" borderId="89" xfId="50" applyFont="1" applyFill="1" applyBorder="1" applyAlignment="1" applyProtection="1">
      <alignment horizontal="left" vertical="top"/>
      <protection hidden="1"/>
    </xf>
    <xf numFmtId="0" fontId="80" fillId="38" borderId="88" xfId="50" applyFont="1" applyFill="1" applyBorder="1" applyAlignment="1" applyProtection="1">
      <alignment horizontal="left" vertical="top"/>
      <protection hidden="1"/>
    </xf>
    <xf numFmtId="0" fontId="80" fillId="38" borderId="54" xfId="50" applyFont="1" applyFill="1" applyBorder="1" applyAlignment="1" applyProtection="1">
      <alignment horizontal="left" vertical="top"/>
      <protection hidden="1"/>
    </xf>
    <xf numFmtId="0" fontId="80" fillId="0" borderId="85" xfId="50" applyFont="1" applyBorder="1" applyAlignment="1" applyProtection="1">
      <alignment horizontal="left" vertical="top" wrapText="1"/>
      <protection hidden="1"/>
    </xf>
    <xf numFmtId="0" fontId="80" fillId="0" borderId="81" xfId="50" applyFont="1" applyBorder="1" applyAlignment="1" applyProtection="1">
      <alignment horizontal="left" vertical="top" wrapText="1"/>
      <protection hidden="1"/>
    </xf>
    <xf numFmtId="0" fontId="80" fillId="0" borderId="86" xfId="50" applyFont="1" applyBorder="1" applyAlignment="1" applyProtection="1">
      <alignment horizontal="left" vertical="top" wrapText="1"/>
      <protection hidden="1"/>
    </xf>
    <xf numFmtId="0" fontId="80" fillId="38" borderId="90" xfId="50" applyFont="1" applyFill="1" applyBorder="1" applyAlignment="1" applyProtection="1">
      <alignment horizontal="left"/>
      <protection hidden="1"/>
    </xf>
    <xf numFmtId="0" fontId="80" fillId="38" borderId="0" xfId="50" applyFont="1" applyFill="1" applyAlignment="1" applyProtection="1">
      <alignment horizontal="left"/>
      <protection hidden="1"/>
    </xf>
    <xf numFmtId="0" fontId="80" fillId="38" borderId="55" xfId="50" applyFont="1" applyFill="1" applyBorder="1" applyAlignment="1" applyProtection="1">
      <alignment horizontal="left"/>
      <protection hidden="1"/>
    </xf>
    <xf numFmtId="0" fontId="83" fillId="38" borderId="90" xfId="50" applyFont="1" applyFill="1" applyBorder="1" applyAlignment="1" applyProtection="1">
      <alignment horizontal="left"/>
      <protection hidden="1"/>
    </xf>
    <xf numFmtId="0" fontId="83" fillId="38" borderId="0" xfId="50" applyFont="1" applyFill="1" applyAlignment="1" applyProtection="1">
      <alignment horizontal="left"/>
      <protection hidden="1"/>
    </xf>
    <xf numFmtId="0" fontId="83" fillId="38" borderId="55" xfId="50" applyFont="1" applyFill="1" applyBorder="1" applyAlignment="1" applyProtection="1">
      <alignment horizontal="left"/>
      <protection hidden="1"/>
    </xf>
    <xf numFmtId="0" fontId="80" fillId="38" borderId="90" xfId="50" applyFont="1" applyFill="1" applyBorder="1" applyAlignment="1" applyProtection="1">
      <alignment horizontal="left" vertical="top" wrapText="1"/>
      <protection hidden="1"/>
    </xf>
    <xf numFmtId="0" fontId="80" fillId="38" borderId="55" xfId="50" applyFont="1" applyFill="1" applyBorder="1" applyAlignment="1" applyProtection="1">
      <alignment horizontal="left" vertical="top" wrapText="1"/>
      <protection hidden="1"/>
    </xf>
    <xf numFmtId="0" fontId="80" fillId="38" borderId="90" xfId="50" applyFont="1" applyFill="1" applyBorder="1" applyAlignment="1" applyProtection="1">
      <alignment vertical="center" wrapText="1"/>
      <protection hidden="1"/>
    </xf>
    <xf numFmtId="0" fontId="80" fillId="38" borderId="0" xfId="50" applyFont="1" applyFill="1" applyAlignment="1" applyProtection="1">
      <alignment vertical="center" wrapText="1"/>
      <protection hidden="1"/>
    </xf>
    <xf numFmtId="0" fontId="80" fillId="38" borderId="55" xfId="50" applyFont="1" applyFill="1" applyBorder="1" applyAlignment="1" applyProtection="1">
      <alignment vertical="center" wrapText="1"/>
      <protection hidden="1"/>
    </xf>
    <xf numFmtId="0" fontId="80" fillId="38" borderId="90" xfId="50" applyFont="1" applyFill="1" applyBorder="1" applyAlignment="1" applyProtection="1">
      <alignment vertical="top" wrapText="1"/>
      <protection hidden="1"/>
    </xf>
    <xf numFmtId="0" fontId="80" fillId="38" borderId="0" xfId="50" applyFont="1" applyFill="1" applyAlignment="1" applyProtection="1">
      <alignment vertical="top" wrapText="1"/>
      <protection hidden="1"/>
    </xf>
    <xf numFmtId="0" fontId="80" fillId="38" borderId="55" xfId="50" applyFont="1" applyFill="1" applyBorder="1" applyAlignment="1" applyProtection="1">
      <alignment vertical="top" wrapText="1"/>
      <protection hidden="1"/>
    </xf>
    <xf numFmtId="0" fontId="40" fillId="38" borderId="90" xfId="50" applyFont="1" applyFill="1" applyBorder="1" applyAlignment="1" applyProtection="1">
      <alignment vertical="top" wrapText="1"/>
      <protection hidden="1"/>
    </xf>
    <xf numFmtId="0" fontId="40" fillId="38" borderId="0" xfId="50" applyFont="1" applyFill="1" applyAlignment="1" applyProtection="1">
      <alignment vertical="top" wrapText="1"/>
      <protection hidden="1"/>
    </xf>
    <xf numFmtId="0" fontId="40" fillId="38" borderId="55" xfId="50" applyFont="1" applyFill="1" applyBorder="1" applyAlignment="1" applyProtection="1">
      <alignment vertical="top" wrapText="1"/>
      <protection hidden="1"/>
    </xf>
    <xf numFmtId="0" fontId="40" fillId="38" borderId="89" xfId="50" applyFont="1" applyFill="1" applyBorder="1" applyAlignment="1" applyProtection="1">
      <alignment vertical="top" wrapText="1"/>
      <protection hidden="1"/>
    </xf>
    <xf numFmtId="0" fontId="40" fillId="38" borderId="88" xfId="50" applyFont="1" applyFill="1" applyBorder="1" applyAlignment="1" applyProtection="1">
      <alignment vertical="top" wrapText="1"/>
      <protection hidden="1"/>
    </xf>
    <xf numFmtId="0" fontId="40" fillId="38" borderId="54" xfId="50" applyFont="1" applyFill="1" applyBorder="1" applyAlignment="1" applyProtection="1">
      <alignment vertical="top" wrapText="1"/>
      <protection hidden="1"/>
    </xf>
    <xf numFmtId="0" fontId="80" fillId="38" borderId="85" xfId="50" applyFont="1" applyFill="1" applyBorder="1" applyAlignment="1" applyProtection="1">
      <alignment vertical="top" wrapText="1"/>
      <protection hidden="1"/>
    </xf>
    <xf numFmtId="0" fontId="80" fillId="38" borderId="81" xfId="50" applyFont="1" applyFill="1" applyBorder="1" applyAlignment="1" applyProtection="1">
      <alignment vertical="top" wrapText="1"/>
      <protection hidden="1"/>
    </xf>
    <xf numFmtId="0" fontId="80" fillId="38" borderId="86" xfId="50" applyFont="1" applyFill="1" applyBorder="1" applyAlignment="1" applyProtection="1">
      <alignment vertical="top" wrapText="1"/>
      <protection hidden="1"/>
    </xf>
    <xf numFmtId="0" fontId="80" fillId="0" borderId="89" xfId="50" applyFont="1" applyBorder="1" applyAlignment="1" applyProtection="1">
      <alignment horizontal="left" vertical="top" wrapText="1"/>
      <protection hidden="1"/>
    </xf>
    <xf numFmtId="0" fontId="80" fillId="0" borderId="88" xfId="50" applyFont="1" applyBorder="1" applyAlignment="1" applyProtection="1">
      <alignment horizontal="left" vertical="top"/>
      <protection hidden="1"/>
    </xf>
    <xf numFmtId="0" fontId="80" fillId="0" borderId="54" xfId="50" applyFont="1" applyBorder="1" applyAlignment="1" applyProtection="1">
      <alignment horizontal="left" vertical="top"/>
      <protection hidden="1"/>
    </xf>
    <xf numFmtId="0" fontId="80" fillId="38" borderId="89" xfId="50" applyFont="1" applyFill="1" applyBorder="1" applyProtection="1">
      <protection hidden="1"/>
    </xf>
    <xf numFmtId="0" fontId="80" fillId="38" borderId="88" xfId="50" applyFont="1" applyFill="1" applyBorder="1" applyProtection="1">
      <protection hidden="1"/>
    </xf>
    <xf numFmtId="0" fontId="80" fillId="38" borderId="54" xfId="50" applyFont="1" applyFill="1" applyBorder="1" applyProtection="1">
      <protection hidden="1"/>
    </xf>
    <xf numFmtId="0" fontId="80" fillId="38" borderId="90" xfId="50" applyFont="1" applyFill="1" applyBorder="1" applyAlignment="1" applyProtection="1">
      <alignment vertical="top"/>
      <protection hidden="1"/>
    </xf>
    <xf numFmtId="0" fontId="80" fillId="38" borderId="0" xfId="50" applyFont="1" applyFill="1" applyAlignment="1" applyProtection="1">
      <alignment vertical="top"/>
      <protection hidden="1"/>
    </xf>
    <xf numFmtId="0" fontId="80" fillId="38" borderId="55" xfId="50" applyFont="1" applyFill="1" applyBorder="1" applyAlignment="1" applyProtection="1">
      <alignment vertical="top"/>
      <protection hidden="1"/>
    </xf>
    <xf numFmtId="0" fontId="80" fillId="38" borderId="90" xfId="50" applyFont="1" applyFill="1" applyBorder="1" applyAlignment="1" applyProtection="1">
      <alignment vertical="center"/>
      <protection hidden="1"/>
    </xf>
    <xf numFmtId="0" fontId="80" fillId="38" borderId="0" xfId="50" applyFont="1" applyFill="1" applyAlignment="1" applyProtection="1">
      <alignment vertical="center"/>
      <protection hidden="1"/>
    </xf>
    <xf numFmtId="0" fontId="80" fillId="38" borderId="55" xfId="50" applyFont="1" applyFill="1" applyBorder="1" applyAlignment="1" applyProtection="1">
      <alignment vertical="center"/>
      <protection hidden="1"/>
    </xf>
    <xf numFmtId="0" fontId="80" fillId="38" borderId="0" xfId="50" applyFont="1" applyFill="1" applyAlignment="1" applyProtection="1">
      <alignment horizontal="left" vertical="top"/>
      <protection hidden="1"/>
    </xf>
    <xf numFmtId="0" fontId="80" fillId="38" borderId="55" xfId="50" applyFont="1" applyFill="1" applyBorder="1" applyAlignment="1" applyProtection="1">
      <alignment horizontal="left" vertical="top"/>
      <protection hidden="1"/>
    </xf>
    <xf numFmtId="0" fontId="80" fillId="38" borderId="85" xfId="50" applyFont="1" applyFill="1" applyBorder="1" applyProtection="1">
      <protection hidden="1"/>
    </xf>
    <xf numFmtId="0" fontId="80" fillId="38" borderId="81" xfId="50" applyFont="1" applyFill="1" applyBorder="1" applyProtection="1">
      <protection hidden="1"/>
    </xf>
    <xf numFmtId="0" fontId="80" fillId="38" borderId="86" xfId="50" applyFont="1" applyFill="1" applyBorder="1" applyProtection="1">
      <protection hidden="1"/>
    </xf>
    <xf numFmtId="0" fontId="80" fillId="38" borderId="90" xfId="50" applyFont="1" applyFill="1" applyBorder="1" applyProtection="1">
      <protection hidden="1"/>
    </xf>
    <xf numFmtId="0" fontId="80" fillId="38" borderId="0" xfId="50" applyFont="1" applyFill="1" applyProtection="1">
      <protection hidden="1"/>
    </xf>
    <xf numFmtId="0" fontId="80" fillId="38" borderId="55" xfId="50" applyFont="1" applyFill="1" applyBorder="1" applyProtection="1">
      <protection hidden="1"/>
    </xf>
    <xf numFmtId="0" fontId="83" fillId="38" borderId="89" xfId="50" applyFont="1" applyFill="1" applyBorder="1" applyAlignment="1" applyProtection="1">
      <alignment horizontal="left" vertical="top" wrapText="1"/>
      <protection hidden="1"/>
    </xf>
    <xf numFmtId="0" fontId="83" fillId="38" borderId="88" xfId="50" applyFont="1" applyFill="1" applyBorder="1" applyAlignment="1" applyProtection="1">
      <alignment horizontal="left" vertical="top" wrapText="1"/>
      <protection hidden="1"/>
    </xf>
    <xf numFmtId="0" fontId="83" fillId="38" borderId="54" xfId="50" applyFont="1" applyFill="1" applyBorder="1" applyAlignment="1" applyProtection="1">
      <alignment horizontal="left" vertical="top" wrapText="1"/>
      <protection hidden="1"/>
    </xf>
    <xf numFmtId="0" fontId="82" fillId="50" borderId="51" xfId="50" applyFont="1" applyFill="1" applyBorder="1" applyAlignment="1" applyProtection="1">
      <alignment horizontal="left" vertical="center"/>
      <protection hidden="1"/>
    </xf>
    <xf numFmtId="0" fontId="82" fillId="50" borderId="52" xfId="50" applyFont="1" applyFill="1" applyBorder="1" applyAlignment="1" applyProtection="1">
      <alignment horizontal="left" vertical="center"/>
      <protection hidden="1"/>
    </xf>
    <xf numFmtId="0" fontId="82" fillId="50" borderId="53" xfId="50" applyFont="1" applyFill="1" applyBorder="1" applyAlignment="1" applyProtection="1">
      <alignment horizontal="left" vertical="center"/>
      <protection hidden="1"/>
    </xf>
    <xf numFmtId="0" fontId="83" fillId="38" borderId="85" xfId="50" applyFont="1" applyFill="1" applyBorder="1" applyProtection="1">
      <protection hidden="1"/>
    </xf>
    <xf numFmtId="0" fontId="83" fillId="38" borderId="81" xfId="50" applyFont="1" applyFill="1" applyBorder="1" applyProtection="1">
      <protection hidden="1"/>
    </xf>
    <xf numFmtId="0" fontId="83" fillId="38" borderId="86" xfId="50" applyFont="1" applyFill="1" applyBorder="1" applyProtection="1">
      <protection hidden="1"/>
    </xf>
    <xf numFmtId="0" fontId="80" fillId="38" borderId="89" xfId="50" applyFont="1" applyFill="1" applyBorder="1" applyAlignment="1" applyProtection="1">
      <alignment vertical="top" wrapText="1"/>
      <protection hidden="1"/>
    </xf>
    <xf numFmtId="0" fontId="80" fillId="38" borderId="88" xfId="50" applyFont="1" applyFill="1" applyBorder="1" applyAlignment="1" applyProtection="1">
      <alignment vertical="top" wrapText="1"/>
      <protection hidden="1"/>
    </xf>
    <xf numFmtId="0" fontId="80" fillId="38" borderId="54" xfId="50" applyFont="1" applyFill="1" applyBorder="1" applyAlignment="1" applyProtection="1">
      <alignment vertical="top" wrapText="1"/>
      <protection hidden="1"/>
    </xf>
    <xf numFmtId="0" fontId="80" fillId="38" borderId="89" xfId="50" applyFont="1" applyFill="1" applyBorder="1" applyAlignment="1" applyProtection="1">
      <alignment horizontal="left" vertical="top" wrapText="1"/>
      <protection hidden="1"/>
    </xf>
    <xf numFmtId="0" fontId="80" fillId="38" borderId="88" xfId="50" applyFont="1" applyFill="1" applyBorder="1" applyAlignment="1" applyProtection="1">
      <alignment horizontal="left" vertical="top" wrapText="1"/>
      <protection hidden="1"/>
    </xf>
    <xf numFmtId="0" fontId="80" fillId="38" borderId="54" xfId="50" applyFont="1" applyFill="1" applyBorder="1" applyAlignment="1" applyProtection="1">
      <alignment horizontal="left" vertical="top" wrapText="1"/>
      <protection hidden="1"/>
    </xf>
    <xf numFmtId="0" fontId="83" fillId="38" borderId="85" xfId="50" applyFont="1" applyFill="1" applyBorder="1" applyAlignment="1" applyProtection="1">
      <alignment vertical="top" wrapText="1"/>
      <protection hidden="1"/>
    </xf>
    <xf numFmtId="0" fontId="83" fillId="38" borderId="81" xfId="50" applyFont="1" applyFill="1" applyBorder="1" applyAlignment="1" applyProtection="1">
      <alignment vertical="top" wrapText="1"/>
      <protection hidden="1"/>
    </xf>
    <xf numFmtId="0" fontId="83" fillId="38" borderId="86" xfId="50" applyFont="1" applyFill="1" applyBorder="1" applyAlignment="1" applyProtection="1">
      <alignment vertical="top" wrapText="1"/>
      <protection hidden="1"/>
    </xf>
    <xf numFmtId="0" fontId="83" fillId="38" borderId="51" xfId="50" applyFont="1" applyFill="1" applyBorder="1" applyAlignment="1" applyProtection="1">
      <alignment vertical="top" wrapText="1"/>
      <protection hidden="1"/>
    </xf>
    <xf numFmtId="0" fontId="80" fillId="38" borderId="52" xfId="50" applyFont="1" applyFill="1" applyBorder="1" applyAlignment="1" applyProtection="1">
      <alignment vertical="top" wrapText="1"/>
      <protection hidden="1"/>
    </xf>
    <xf numFmtId="0" fontId="80" fillId="38" borderId="53" xfId="50" applyFont="1" applyFill="1" applyBorder="1" applyAlignment="1" applyProtection="1">
      <alignment vertical="top" wrapText="1"/>
      <protection hidden="1"/>
    </xf>
    <xf numFmtId="0" fontId="15" fillId="25" borderId="14" xfId="0" applyFont="1" applyFill="1" applyBorder="1" applyAlignment="1" applyProtection="1">
      <alignment horizontal="center" vertical="center"/>
      <protection locked="0"/>
    </xf>
    <xf numFmtId="0" fontId="15" fillId="25" borderId="38" xfId="0" applyFont="1" applyFill="1" applyBorder="1" applyAlignment="1" applyProtection="1">
      <alignment horizontal="center" vertical="center"/>
      <protection locked="0"/>
    </xf>
    <xf numFmtId="0" fontId="4" fillId="0" borderId="79" xfId="0" applyFont="1" applyFill="1" applyBorder="1" applyAlignment="1" applyProtection="1">
      <protection hidden="1"/>
    </xf>
    <xf numFmtId="0" fontId="4" fillId="0" borderId="76" xfId="0" applyFont="1" applyBorder="1" applyAlignment="1" applyProtection="1">
      <protection hidden="1"/>
    </xf>
    <xf numFmtId="0" fontId="4" fillId="0" borderId="78" xfId="0" applyFont="1" applyBorder="1" applyAlignment="1" applyProtection="1">
      <protection hidden="1"/>
    </xf>
    <xf numFmtId="0" fontId="4" fillId="0" borderId="31"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53" fillId="30" borderId="47" xfId="0" applyFont="1" applyFill="1" applyBorder="1" applyAlignment="1" applyProtection="1">
      <alignment horizontal="center" wrapText="1"/>
      <protection hidden="1"/>
    </xf>
    <xf numFmtId="0" fontId="53" fillId="30" borderId="27" xfId="0" applyFont="1" applyFill="1" applyBorder="1" applyAlignment="1" applyProtection="1">
      <alignment horizontal="center" wrapText="1"/>
      <protection hidden="1"/>
    </xf>
    <xf numFmtId="0" fontId="53" fillId="30" borderId="48" xfId="0" applyFont="1" applyFill="1" applyBorder="1" applyAlignment="1" applyProtection="1">
      <alignment horizontal="center" wrapText="1"/>
      <protection hidden="1"/>
    </xf>
    <xf numFmtId="0" fontId="5" fillId="0" borderId="22"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39" fillId="38" borderId="35" xfId="0" applyFont="1" applyFill="1" applyBorder="1" applyAlignment="1" applyProtection="1">
      <alignment horizontal="center"/>
      <protection hidden="1"/>
    </xf>
    <xf numFmtId="0" fontId="39" fillId="38" borderId="80" xfId="0" applyFont="1" applyFill="1" applyBorder="1" applyAlignment="1" applyProtection="1">
      <alignment horizontal="center"/>
      <protection hidden="1"/>
    </xf>
    <xf numFmtId="0" fontId="63" fillId="30" borderId="47" xfId="0" applyFont="1" applyFill="1" applyBorder="1" applyAlignment="1" applyProtection="1">
      <alignment horizontal="center" wrapText="1"/>
      <protection hidden="1"/>
    </xf>
    <xf numFmtId="0" fontId="63" fillId="30" borderId="27" xfId="0" applyFont="1" applyFill="1" applyBorder="1" applyAlignment="1" applyProtection="1">
      <alignment horizontal="center" wrapText="1"/>
      <protection hidden="1"/>
    </xf>
    <xf numFmtId="0" fontId="63" fillId="30" borderId="48" xfId="0" applyFont="1" applyFill="1" applyBorder="1" applyAlignment="1" applyProtection="1">
      <alignment horizontal="center" wrapText="1"/>
      <protection hidden="1"/>
    </xf>
    <xf numFmtId="0" fontId="55" fillId="38" borderId="63" xfId="0" applyFont="1" applyFill="1" applyBorder="1" applyAlignment="1">
      <alignment horizontal="center" wrapText="1"/>
    </xf>
    <xf numFmtId="0" fontId="4" fillId="0" borderId="31" xfId="0" applyFont="1" applyBorder="1" applyAlignment="1" applyProtection="1">
      <alignment horizontal="center" vertical="center" wrapText="1"/>
      <protection hidden="1"/>
    </xf>
    <xf numFmtId="0" fontId="4" fillId="0" borderId="37" xfId="0" applyFont="1" applyBorder="1" applyAlignment="1" applyProtection="1">
      <alignment horizontal="center" vertical="center" wrapText="1"/>
      <protection hidden="1"/>
    </xf>
    <xf numFmtId="49" fontId="5" fillId="0" borderId="22" xfId="0" applyNumberFormat="1" applyFont="1" applyBorder="1" applyAlignment="1" applyProtection="1">
      <alignment horizontal="center" vertical="center"/>
      <protection hidden="1"/>
    </xf>
    <xf numFmtId="49" fontId="5" fillId="0" borderId="25" xfId="0" applyNumberFormat="1" applyFont="1" applyBorder="1" applyAlignment="1" applyProtection="1">
      <alignment horizontal="center" vertical="center"/>
      <protection hidden="1"/>
    </xf>
    <xf numFmtId="0" fontId="14" fillId="25" borderId="14" xfId="0" applyFont="1" applyFill="1" applyBorder="1" applyAlignment="1" applyProtection="1">
      <alignment horizontal="center" vertical="center"/>
      <protection locked="0"/>
    </xf>
    <xf numFmtId="0" fontId="14" fillId="25" borderId="38" xfId="0" applyFont="1" applyFill="1" applyBorder="1" applyAlignment="1" applyProtection="1">
      <alignment horizontal="center" vertical="center"/>
      <protection locked="0"/>
    </xf>
    <xf numFmtId="0" fontId="78" fillId="38" borderId="63" xfId="0" applyFont="1" applyFill="1" applyBorder="1" applyAlignment="1" applyProtection="1">
      <alignment horizontal="center" vertical="center" wrapText="1"/>
      <protection hidden="1"/>
    </xf>
    <xf numFmtId="0" fontId="6" fillId="34" borderId="16" xfId="0" applyFont="1" applyFill="1" applyBorder="1" applyAlignment="1" applyProtection="1">
      <alignment horizontal="left" vertical="top" wrapText="1"/>
      <protection hidden="1"/>
    </xf>
    <xf numFmtId="0" fontId="6" fillId="34" borderId="27" xfId="0" applyFont="1" applyFill="1" applyBorder="1" applyAlignment="1" applyProtection="1">
      <alignment horizontal="left" vertical="top" wrapText="1"/>
      <protection hidden="1"/>
    </xf>
    <xf numFmtId="0" fontId="6" fillId="34" borderId="48" xfId="0" applyFont="1" applyFill="1" applyBorder="1" applyAlignment="1" applyProtection="1">
      <alignment horizontal="left" vertical="top" wrapText="1"/>
      <protection hidden="1"/>
    </xf>
    <xf numFmtId="0" fontId="55" fillId="38" borderId="49" xfId="0" applyFont="1" applyFill="1" applyBorder="1" applyAlignment="1" applyProtection="1">
      <alignment horizontal="center" wrapText="1"/>
      <protection hidden="1"/>
    </xf>
    <xf numFmtId="0" fontId="4" fillId="0" borderId="35" xfId="0" applyFont="1" applyBorder="1" applyAlignment="1" applyProtection="1">
      <alignment horizontal="center"/>
      <protection hidden="1"/>
    </xf>
    <xf numFmtId="0" fontId="4" fillId="0" borderId="80" xfId="0" applyFont="1" applyBorder="1" applyAlignment="1" applyProtection="1">
      <alignment horizontal="center"/>
      <protection hidden="1"/>
    </xf>
    <xf numFmtId="0" fontId="69" fillId="38" borderId="44" xfId="0" applyFont="1" applyFill="1" applyBorder="1" applyAlignment="1" applyProtection="1">
      <alignment horizontal="center" vertical="center"/>
      <protection hidden="1"/>
    </xf>
    <xf numFmtId="0" fontId="69" fillId="38" borderId="67" xfId="0" applyFont="1" applyFill="1" applyBorder="1" applyAlignment="1" applyProtection="1">
      <alignment horizontal="center" vertical="center"/>
      <protection hidden="1"/>
    </xf>
    <xf numFmtId="0" fontId="4" fillId="38" borderId="15" xfId="0" applyFont="1" applyFill="1" applyBorder="1" applyAlignment="1" applyProtection="1">
      <alignment horizontal="center" vertical="center"/>
      <protection hidden="1"/>
    </xf>
    <xf numFmtId="0" fontId="4" fillId="38" borderId="11" xfId="0" applyFont="1" applyFill="1" applyBorder="1" applyAlignment="1" applyProtection="1">
      <alignment horizontal="center" vertical="center"/>
      <protection hidden="1"/>
    </xf>
    <xf numFmtId="0" fontId="4" fillId="47" borderId="40" xfId="0" applyFont="1" applyFill="1" applyBorder="1" applyAlignment="1" applyProtection="1">
      <alignment horizontal="center" vertical="center" wrapText="1"/>
    </xf>
    <xf numFmtId="0" fontId="4" fillId="47" borderId="21" xfId="0" applyFont="1" applyFill="1" applyBorder="1" applyAlignment="1" applyProtection="1">
      <alignment horizontal="center" vertical="center" wrapText="1"/>
    </xf>
    <xf numFmtId="0" fontId="4" fillId="47" borderId="47" xfId="0" applyFont="1" applyFill="1" applyBorder="1" applyAlignment="1" applyProtection="1">
      <alignment horizontal="center" vertical="center" wrapText="1"/>
    </xf>
    <xf numFmtId="0" fontId="4" fillId="47" borderId="29" xfId="0" applyFont="1" applyFill="1" applyBorder="1" applyAlignment="1" applyProtection="1">
      <alignment horizontal="center" vertical="center" wrapText="1"/>
    </xf>
    <xf numFmtId="0" fontId="36" fillId="38" borderId="15" xfId="0" applyFont="1" applyFill="1" applyBorder="1" applyAlignment="1" applyProtection="1">
      <alignment horizontal="center" vertical="center"/>
      <protection hidden="1"/>
    </xf>
    <xf numFmtId="0" fontId="36" fillId="38" borderId="11" xfId="0" applyFont="1" applyFill="1" applyBorder="1" applyAlignment="1" applyProtection="1">
      <alignment horizontal="center" vertical="center"/>
      <protection hidden="1"/>
    </xf>
    <xf numFmtId="0" fontId="4" fillId="47" borderId="40" xfId="0" applyFont="1" applyFill="1" applyBorder="1" applyAlignment="1" applyProtection="1">
      <alignment horizontal="center" vertical="center" wrapText="1"/>
      <protection locked="0"/>
    </xf>
    <xf numFmtId="0" fontId="4" fillId="47" borderId="21" xfId="0" applyFont="1" applyFill="1" applyBorder="1" applyAlignment="1" applyProtection="1">
      <alignment horizontal="center" vertical="center" wrapText="1"/>
      <protection locked="0"/>
    </xf>
    <xf numFmtId="0" fontId="4" fillId="47" borderId="47" xfId="0" applyFont="1" applyFill="1" applyBorder="1" applyAlignment="1" applyProtection="1">
      <alignment horizontal="center" vertical="center" wrapText="1"/>
      <protection locked="0"/>
    </xf>
    <xf numFmtId="0" fontId="4" fillId="47" borderId="29" xfId="0" applyFont="1" applyFill="1" applyBorder="1" applyAlignment="1" applyProtection="1">
      <alignment horizontal="center" vertical="center" wrapText="1"/>
      <protection locked="0"/>
    </xf>
    <xf numFmtId="0" fontId="6" fillId="34" borderId="16" xfId="0" applyFont="1" applyFill="1" applyBorder="1" applyAlignment="1" applyProtection="1">
      <alignment horizontal="left" vertical="center" wrapText="1"/>
      <protection hidden="1"/>
    </xf>
    <xf numFmtId="0" fontId="6" fillId="34" borderId="15" xfId="0" applyFont="1" applyFill="1" applyBorder="1" applyAlignment="1" applyProtection="1">
      <alignment horizontal="left" vertical="center" wrapText="1"/>
      <protection hidden="1"/>
    </xf>
    <xf numFmtId="0" fontId="6" fillId="34" borderId="18" xfId="0" applyFont="1" applyFill="1" applyBorder="1" applyAlignment="1" applyProtection="1">
      <alignment horizontal="left" vertical="center" wrapText="1"/>
      <protection hidden="1"/>
    </xf>
    <xf numFmtId="0" fontId="5" fillId="38" borderId="39" xfId="0" applyFont="1" applyFill="1" applyBorder="1" applyAlignment="1" applyProtection="1">
      <alignment horizontal="center" vertical="top"/>
      <protection hidden="1"/>
    </xf>
    <xf numFmtId="0" fontId="5" fillId="38" borderId="25" xfId="0" applyFont="1" applyFill="1" applyBorder="1" applyAlignment="1" applyProtection="1">
      <alignment horizontal="center" vertical="top"/>
      <protection hidden="1"/>
    </xf>
    <xf numFmtId="0" fontId="6" fillId="26" borderId="16" xfId="0" applyFont="1" applyFill="1" applyBorder="1" applyAlignment="1" applyProtection="1">
      <alignment horizontal="left"/>
      <protection hidden="1"/>
    </xf>
    <xf numFmtId="0" fontId="6" fillId="26" borderId="11" xfId="0" applyFont="1" applyFill="1" applyBorder="1" applyAlignment="1" applyProtection="1">
      <alignment horizontal="left"/>
      <protection hidden="1"/>
    </xf>
    <xf numFmtId="0" fontId="6" fillId="39" borderId="16" xfId="0" applyFont="1" applyFill="1" applyBorder="1" applyAlignment="1" applyProtection="1">
      <alignment horizontal="left" vertical="top" wrapText="1"/>
      <protection hidden="1"/>
    </xf>
    <xf numFmtId="0" fontId="6" fillId="39" borderId="15" xfId="0" applyFont="1" applyFill="1" applyBorder="1" applyAlignment="1" applyProtection="1">
      <alignment horizontal="left" vertical="top" wrapText="1"/>
      <protection hidden="1"/>
    </xf>
    <xf numFmtId="0" fontId="6" fillId="39" borderId="18" xfId="0" applyFont="1" applyFill="1" applyBorder="1" applyAlignment="1" applyProtection="1">
      <alignment horizontal="left" vertical="top" wrapText="1"/>
      <protection hidden="1"/>
    </xf>
    <xf numFmtId="0" fontId="63" fillId="38" borderId="63" xfId="0" applyFont="1" applyFill="1" applyBorder="1" applyAlignment="1" applyProtection="1">
      <alignment horizontal="center" wrapText="1"/>
      <protection hidden="1"/>
    </xf>
    <xf numFmtId="0" fontId="5" fillId="38" borderId="22" xfId="0" applyFont="1" applyFill="1" applyBorder="1" applyAlignment="1" applyProtection="1">
      <alignment horizontal="center" vertical="center"/>
      <protection hidden="1"/>
    </xf>
    <xf numFmtId="0" fontId="5" fillId="38" borderId="39" xfId="0" applyFont="1" applyFill="1" applyBorder="1" applyAlignment="1" applyProtection="1">
      <alignment horizontal="center" vertical="center"/>
      <protection hidden="1"/>
    </xf>
    <xf numFmtId="0" fontId="14" fillId="34" borderId="59" xfId="0" applyFont="1" applyFill="1" applyBorder="1" applyAlignment="1" applyProtection="1">
      <alignment horizontal="left" vertical="center" wrapText="1"/>
      <protection hidden="1"/>
    </xf>
    <xf numFmtId="0" fontId="6" fillId="34" borderId="42" xfId="0" applyFont="1" applyFill="1" applyBorder="1" applyAlignment="1" applyProtection="1">
      <alignment horizontal="left" vertical="center" wrapText="1"/>
      <protection hidden="1"/>
    </xf>
    <xf numFmtId="0" fontId="6" fillId="34" borderId="82" xfId="0" applyFont="1" applyFill="1" applyBorder="1" applyAlignment="1" applyProtection="1">
      <alignment horizontal="left" vertical="center" wrapText="1"/>
      <protection hidden="1"/>
    </xf>
    <xf numFmtId="0" fontId="6" fillId="39" borderId="16" xfId="0" applyFont="1" applyFill="1" applyBorder="1" applyAlignment="1" applyProtection="1">
      <alignment vertical="center" wrapText="1"/>
      <protection locked="0"/>
    </xf>
    <xf numFmtId="0" fontId="4" fillId="39" borderId="15" xfId="0" applyFont="1" applyFill="1" applyBorder="1" applyAlignment="1" applyProtection="1">
      <alignment vertical="center"/>
      <protection locked="0"/>
    </xf>
    <xf numFmtId="0" fontId="4" fillId="39" borderId="18" xfId="0" applyFont="1" applyFill="1" applyBorder="1" applyAlignment="1" applyProtection="1">
      <alignment vertical="center"/>
      <protection locked="0"/>
    </xf>
    <xf numFmtId="0" fontId="6" fillId="39" borderId="16" xfId="0" applyFont="1" applyFill="1" applyBorder="1" applyAlignment="1" applyProtection="1">
      <alignment vertical="center" wrapText="1"/>
    </xf>
    <xf numFmtId="0" fontId="6" fillId="39" borderId="15" xfId="0" applyFont="1" applyFill="1" applyBorder="1" applyAlignment="1" applyProtection="1">
      <alignment vertical="center" wrapText="1"/>
    </xf>
    <xf numFmtId="0" fontId="6" fillId="39" borderId="18" xfId="0" applyFont="1" applyFill="1" applyBorder="1" applyAlignment="1" applyProtection="1">
      <alignment vertical="center" wrapText="1"/>
    </xf>
    <xf numFmtId="0" fontId="5" fillId="38" borderId="25" xfId="0" applyFont="1" applyFill="1" applyBorder="1" applyAlignment="1" applyProtection="1">
      <alignment horizontal="center" vertical="center"/>
      <protection hidden="1"/>
    </xf>
    <xf numFmtId="0" fontId="6" fillId="26" borderId="27" xfId="0" applyFont="1" applyFill="1" applyBorder="1" applyAlignment="1" applyProtection="1">
      <alignment horizontal="left" vertical="center"/>
      <protection hidden="1"/>
    </xf>
    <xf numFmtId="0" fontId="6" fillId="0" borderId="29" xfId="0" applyFont="1" applyBorder="1" applyAlignment="1" applyProtection="1">
      <alignment horizontal="left" vertical="center"/>
      <protection hidden="1"/>
    </xf>
    <xf numFmtId="0" fontId="6" fillId="30" borderId="56" xfId="0" applyFont="1" applyFill="1" applyBorder="1" applyAlignment="1" applyProtection="1">
      <alignment horizontal="center"/>
      <protection hidden="1"/>
    </xf>
    <xf numFmtId="0" fontId="6" fillId="30" borderId="0" xfId="0" applyFont="1" applyFill="1" applyBorder="1" applyAlignment="1" applyProtection="1">
      <alignment horizontal="center"/>
      <protection hidden="1"/>
    </xf>
    <xf numFmtId="0" fontId="6" fillId="30" borderId="49" xfId="0" applyFont="1" applyFill="1" applyBorder="1" applyAlignment="1" applyProtection="1">
      <alignment horizontal="center"/>
      <protection hidden="1"/>
    </xf>
    <xf numFmtId="0" fontId="4" fillId="0" borderId="31"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14" fillId="44" borderId="10" xfId="0" applyFont="1" applyFill="1" applyBorder="1" applyAlignment="1" applyProtection="1">
      <alignment horizontal="center" vertical="center" wrapText="1"/>
      <protection locked="0"/>
    </xf>
    <xf numFmtId="0" fontId="4" fillId="27" borderId="12" xfId="0" applyFont="1" applyFill="1" applyBorder="1" applyAlignment="1" applyProtection="1">
      <alignment horizontal="center"/>
      <protection hidden="1"/>
    </xf>
    <xf numFmtId="0" fontId="4" fillId="27" borderId="11" xfId="0" applyFont="1" applyFill="1" applyBorder="1" applyAlignment="1" applyProtection="1">
      <alignment horizontal="center"/>
      <protection hidden="1"/>
    </xf>
    <xf numFmtId="0" fontId="6" fillId="30" borderId="40" xfId="0" applyFont="1" applyFill="1" applyBorder="1" applyAlignment="1" applyProtection="1">
      <alignment horizontal="left"/>
      <protection hidden="1"/>
    </xf>
    <xf numFmtId="0" fontId="6" fillId="30" borderId="26" xfId="0" applyFont="1" applyFill="1" applyBorder="1" applyAlignment="1" applyProtection="1">
      <alignment horizontal="left"/>
      <protection hidden="1"/>
    </xf>
    <xf numFmtId="0" fontId="6" fillId="30" borderId="46" xfId="0" applyFont="1" applyFill="1" applyBorder="1" applyAlignment="1" applyProtection="1">
      <alignment horizontal="left"/>
      <protection hidden="1"/>
    </xf>
    <xf numFmtId="0" fontId="4" fillId="27" borderId="10" xfId="0" applyFont="1" applyFill="1" applyBorder="1" applyAlignment="1" applyProtection="1">
      <alignment horizontal="center"/>
      <protection hidden="1"/>
    </xf>
    <xf numFmtId="0" fontId="6" fillId="45" borderId="47" xfId="0" applyFont="1" applyFill="1" applyBorder="1" applyAlignment="1" applyProtection="1">
      <alignment horizontal="left" vertical="center"/>
      <protection hidden="1"/>
    </xf>
    <xf numFmtId="0" fontId="6" fillId="45" borderId="27" xfId="0" applyFont="1" applyFill="1" applyBorder="1" applyAlignment="1" applyProtection="1">
      <alignment horizontal="left" vertical="center"/>
      <protection hidden="1"/>
    </xf>
    <xf numFmtId="0" fontId="6" fillId="45" borderId="48" xfId="0" applyFont="1" applyFill="1" applyBorder="1" applyAlignment="1" applyProtection="1">
      <alignment horizontal="left" vertical="center"/>
      <protection hidden="1"/>
    </xf>
    <xf numFmtId="0" fontId="36" fillId="34" borderId="37" xfId="0" applyFont="1" applyFill="1" applyBorder="1" applyAlignment="1" applyProtection="1">
      <alignment horizontal="center" wrapText="1"/>
      <protection hidden="1"/>
    </xf>
    <xf numFmtId="0" fontId="36" fillId="0" borderId="25" xfId="0" applyFont="1" applyBorder="1" applyAlignment="1" applyProtection="1">
      <alignment horizontal="center" wrapText="1"/>
      <protection hidden="1"/>
    </xf>
    <xf numFmtId="0" fontId="36" fillId="0" borderId="38" xfId="0" applyFont="1" applyBorder="1" applyAlignment="1" applyProtection="1">
      <alignment horizontal="center" wrapText="1"/>
      <protection hidden="1"/>
    </xf>
    <xf numFmtId="0" fontId="14" fillId="44" borderId="24" xfId="0" applyFont="1" applyFill="1" applyBorder="1" applyAlignment="1" applyProtection="1">
      <alignment horizontal="center" vertical="center" wrapText="1"/>
      <protection locked="0" hidden="1"/>
    </xf>
    <xf numFmtId="0" fontId="14" fillId="43" borderId="13" xfId="0" applyFont="1" applyFill="1" applyBorder="1" applyAlignment="1" applyProtection="1">
      <alignment horizontal="center" vertical="center" wrapText="1"/>
      <protection hidden="1"/>
    </xf>
    <xf numFmtId="0" fontId="14" fillId="43" borderId="33" xfId="0" applyFont="1" applyFill="1" applyBorder="1" applyAlignment="1" applyProtection="1">
      <alignment horizontal="center" vertical="center" wrapText="1"/>
      <protection hidden="1"/>
    </xf>
    <xf numFmtId="0" fontId="14" fillId="46" borderId="47" xfId="0" applyFont="1" applyFill="1" applyBorder="1" applyAlignment="1" applyProtection="1">
      <alignment horizontal="center" vertical="center" wrapText="1"/>
      <protection hidden="1"/>
    </xf>
    <xf numFmtId="0" fontId="14" fillId="46" borderId="27" xfId="0" applyFont="1" applyFill="1" applyBorder="1" applyAlignment="1" applyProtection="1">
      <alignment horizontal="center" vertical="center" wrapText="1"/>
      <protection hidden="1"/>
    </xf>
    <xf numFmtId="0" fontId="14" fillId="46" borderId="29" xfId="0" applyFont="1" applyFill="1" applyBorder="1" applyAlignment="1" applyProtection="1">
      <alignment horizontal="center" vertical="center" wrapText="1"/>
      <protection hidden="1"/>
    </xf>
    <xf numFmtId="0" fontId="4" fillId="38" borderId="31" xfId="0" applyFont="1" applyFill="1" applyBorder="1" applyAlignment="1" applyProtection="1">
      <alignment horizontal="center" vertical="center"/>
      <protection hidden="1"/>
    </xf>
    <xf numFmtId="0" fontId="4" fillId="38" borderId="37" xfId="0" applyFont="1" applyFill="1" applyBorder="1" applyAlignment="1" applyProtection="1">
      <alignment horizontal="center" vertical="center"/>
      <protection hidden="1"/>
    </xf>
    <xf numFmtId="0" fontId="15" fillId="25" borderId="64" xfId="0" applyFont="1" applyFill="1" applyBorder="1" applyAlignment="1" applyProtection="1">
      <alignment horizontal="center" vertical="center"/>
      <protection locked="0"/>
    </xf>
    <xf numFmtId="0" fontId="6" fillId="39" borderId="27" xfId="0" applyFont="1" applyFill="1" applyBorder="1" applyAlignment="1" applyProtection="1">
      <alignment horizontal="left" vertical="top" wrapText="1"/>
      <protection hidden="1"/>
    </xf>
    <xf numFmtId="0" fontId="6" fillId="39" borderId="48" xfId="0" applyFont="1" applyFill="1" applyBorder="1" applyAlignment="1" applyProtection="1">
      <alignment horizontal="left" vertical="top" wrapText="1"/>
      <protection hidden="1"/>
    </xf>
    <xf numFmtId="0" fontId="56" fillId="37" borderId="57" xfId="0" applyFont="1" applyFill="1" applyBorder="1" applyAlignment="1" applyProtection="1">
      <alignment horizontal="center" vertical="center" wrapText="1"/>
    </xf>
    <xf numFmtId="0" fontId="56" fillId="37" borderId="58" xfId="0" applyFont="1" applyFill="1" applyBorder="1" applyAlignment="1" applyProtection="1">
      <alignment horizontal="center" vertical="center" wrapText="1"/>
    </xf>
    <xf numFmtId="0" fontId="56" fillId="37" borderId="62" xfId="0" applyFont="1" applyFill="1" applyBorder="1" applyAlignment="1" applyProtection="1">
      <alignment horizontal="center" vertical="center" wrapText="1"/>
    </xf>
    <xf numFmtId="0" fontId="14" fillId="37" borderId="56" xfId="0" applyFont="1" applyFill="1" applyBorder="1" applyAlignment="1" applyProtection="1">
      <alignment horizontal="center" vertical="center" wrapText="1"/>
    </xf>
    <xf numFmtId="0" fontId="14" fillId="37" borderId="0" xfId="0" applyFont="1" applyFill="1" applyBorder="1" applyAlignment="1" applyProtection="1">
      <alignment horizontal="center" vertical="center"/>
    </xf>
    <xf numFmtId="0" fontId="14" fillId="37" borderId="49" xfId="0" applyFont="1" applyFill="1" applyBorder="1" applyAlignment="1" applyProtection="1">
      <alignment horizontal="center" vertical="center"/>
    </xf>
    <xf numFmtId="0" fontId="44" fillId="24" borderId="0" xfId="0" applyFont="1" applyFill="1" applyBorder="1" applyAlignment="1" applyProtection="1">
      <alignment horizontal="center" vertical="center"/>
      <protection hidden="1"/>
    </xf>
    <xf numFmtId="0" fontId="14" fillId="34" borderId="37" xfId="0" applyFont="1" applyFill="1" applyBorder="1" applyAlignment="1" applyProtection="1">
      <alignment horizontal="left" vertical="center" wrapText="1"/>
      <protection hidden="1"/>
    </xf>
    <xf numFmtId="0" fontId="4" fillId="0" borderId="25" xfId="0" applyFont="1" applyBorder="1" applyAlignment="1" applyProtection="1">
      <alignment horizontal="left" vertical="center" wrapText="1"/>
      <protection hidden="1"/>
    </xf>
    <xf numFmtId="0" fontId="4" fillId="0" borderId="38" xfId="0" applyFont="1" applyBorder="1" applyAlignment="1" applyProtection="1">
      <alignment horizontal="left" vertical="center" wrapText="1"/>
      <protection hidden="1"/>
    </xf>
    <xf numFmtId="0" fontId="4" fillId="0" borderId="40" xfId="0" applyFont="1" applyFill="1" applyBorder="1" applyAlignment="1" applyProtection="1">
      <alignment horizontal="left"/>
      <protection hidden="1"/>
    </xf>
    <xf numFmtId="0" fontId="4" fillId="0" borderId="76" xfId="0" applyFont="1" applyFill="1" applyBorder="1" applyAlignment="1" applyProtection="1">
      <alignment horizontal="left"/>
      <protection hidden="1"/>
    </xf>
    <xf numFmtId="0" fontId="4" fillId="0" borderId="78" xfId="0" applyFont="1" applyFill="1" applyBorder="1" applyAlignment="1" applyProtection="1">
      <alignment horizontal="left"/>
      <protection hidden="1"/>
    </xf>
    <xf numFmtId="0" fontId="14" fillId="34" borderId="66" xfId="0" applyFont="1" applyFill="1" applyBorder="1" applyAlignment="1" applyProtection="1">
      <alignment horizontal="center"/>
      <protection hidden="1"/>
    </xf>
    <xf numFmtId="0" fontId="15" fillId="0" borderId="39" xfId="0" applyFont="1" applyBorder="1" applyAlignment="1" applyProtection="1">
      <alignment horizontal="center"/>
      <protection hidden="1"/>
    </xf>
    <xf numFmtId="0" fontId="15" fillId="0" borderId="64" xfId="0" applyFont="1" applyBorder="1" applyAlignment="1" applyProtection="1">
      <alignment horizontal="center"/>
      <protection hidden="1"/>
    </xf>
    <xf numFmtId="0" fontId="4" fillId="55" borderId="12" xfId="0" applyFont="1" applyFill="1" applyBorder="1" applyAlignment="1" applyProtection="1">
      <alignment horizontal="center" vertical="center" wrapText="1"/>
      <protection locked="0"/>
    </xf>
    <xf numFmtId="0" fontId="4" fillId="55" borderId="15" xfId="0" applyFont="1" applyFill="1" applyBorder="1" applyAlignment="1" applyProtection="1">
      <alignment horizontal="center" vertical="center" wrapText="1"/>
      <protection locked="0"/>
    </xf>
    <xf numFmtId="0" fontId="4" fillId="55" borderId="18" xfId="0" applyFont="1" applyFill="1" applyBorder="1" applyAlignment="1" applyProtection="1">
      <alignment horizontal="center" vertical="center" wrapText="1"/>
      <protection locked="0"/>
    </xf>
    <xf numFmtId="0" fontId="4" fillId="44" borderId="15" xfId="0" applyFont="1" applyFill="1" applyBorder="1" applyAlignment="1" applyProtection="1">
      <alignment horizontal="center" vertical="center" wrapText="1"/>
      <protection locked="0"/>
    </xf>
    <xf numFmtId="0" fontId="4" fillId="44" borderId="18" xfId="0" applyFont="1" applyFill="1" applyBorder="1" applyAlignment="1" applyProtection="1">
      <alignment horizontal="center" vertical="center" wrapText="1"/>
      <protection locked="0"/>
    </xf>
    <xf numFmtId="0" fontId="14" fillId="43" borderId="47" xfId="0" applyFont="1" applyFill="1" applyBorder="1" applyAlignment="1" applyProtection="1">
      <alignment horizontal="center" vertical="center" wrapText="1"/>
      <protection hidden="1"/>
    </xf>
    <xf numFmtId="0" fontId="14" fillId="43" borderId="27" xfId="0" applyFont="1" applyFill="1" applyBorder="1" applyAlignment="1" applyProtection="1">
      <alignment horizontal="center" vertical="center" wrapText="1"/>
      <protection hidden="1"/>
    </xf>
    <xf numFmtId="0" fontId="14" fillId="43" borderId="48" xfId="0" applyFont="1" applyFill="1" applyBorder="1" applyAlignment="1" applyProtection="1">
      <alignment horizontal="center" vertical="center" wrapText="1"/>
      <protection hidden="1"/>
    </xf>
    <xf numFmtId="0" fontId="76" fillId="43" borderId="47" xfId="0" applyFont="1" applyFill="1" applyBorder="1" applyAlignment="1" applyProtection="1">
      <alignment horizontal="center" vertical="center" wrapText="1"/>
      <protection hidden="1"/>
    </xf>
    <xf numFmtId="0" fontId="76" fillId="43" borderId="27" xfId="0" applyFont="1" applyFill="1" applyBorder="1" applyAlignment="1" applyProtection="1">
      <alignment horizontal="center" vertical="center" wrapText="1"/>
      <protection hidden="1"/>
    </xf>
    <xf numFmtId="0" fontId="76" fillId="43" borderId="48" xfId="0" applyFont="1" applyFill="1" applyBorder="1" applyAlignment="1" applyProtection="1">
      <alignment horizontal="center" vertical="center" wrapText="1"/>
      <protection hidden="1"/>
    </xf>
    <xf numFmtId="0" fontId="6" fillId="39" borderId="15" xfId="0" applyFont="1" applyFill="1" applyBorder="1" applyAlignment="1" applyProtection="1">
      <alignment vertical="center" wrapText="1"/>
      <protection locked="0"/>
    </xf>
    <xf numFmtId="0" fontId="6" fillId="39" borderId="18" xfId="0" applyFont="1" applyFill="1" applyBorder="1" applyAlignment="1" applyProtection="1">
      <alignment vertical="center" wrapText="1"/>
      <protection locked="0"/>
    </xf>
    <xf numFmtId="0" fontId="4" fillId="0" borderId="22"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14" fillId="35" borderId="73" xfId="0" applyFont="1" applyFill="1" applyBorder="1" applyAlignment="1" applyProtection="1">
      <alignment horizontal="center" vertical="center" wrapText="1"/>
      <protection hidden="1"/>
    </xf>
    <xf numFmtId="0" fontId="15" fillId="35" borderId="74" xfId="0" applyFont="1" applyFill="1" applyBorder="1" applyAlignment="1" applyProtection="1">
      <alignment horizontal="center" vertical="center" wrapText="1"/>
      <protection hidden="1"/>
    </xf>
    <xf numFmtId="0" fontId="15" fillId="35" borderId="75" xfId="0" applyFont="1" applyFill="1" applyBorder="1" applyAlignment="1" applyProtection="1">
      <alignment horizontal="center" vertical="center" wrapText="1"/>
      <protection hidden="1"/>
    </xf>
    <xf numFmtId="0" fontId="4" fillId="44" borderId="43" xfId="0" applyFont="1" applyFill="1" applyBorder="1" applyAlignment="1" applyProtection="1">
      <alignment horizontal="center" vertical="center" wrapText="1"/>
      <protection locked="0"/>
    </xf>
    <xf numFmtId="0" fontId="4" fillId="44" borderId="71" xfId="0" applyFont="1" applyFill="1" applyBorder="1" applyAlignment="1" applyProtection="1">
      <alignment horizontal="center" vertical="center" wrapText="1"/>
      <protection locked="0"/>
    </xf>
    <xf numFmtId="0" fontId="4" fillId="44" borderId="50" xfId="0" applyFont="1" applyFill="1" applyBorder="1" applyAlignment="1" applyProtection="1">
      <alignment horizontal="center" vertical="center" wrapText="1"/>
      <protection locked="0"/>
    </xf>
    <xf numFmtId="0" fontId="4" fillId="0" borderId="79" xfId="0" applyFont="1" applyFill="1" applyBorder="1" applyAlignment="1" applyProtection="1">
      <alignment horizontal="left"/>
      <protection hidden="1"/>
    </xf>
    <xf numFmtId="0" fontId="4" fillId="55" borderId="12" xfId="0" applyFont="1" applyFill="1" applyBorder="1" applyAlignment="1" applyProtection="1">
      <alignment horizontal="center" vertical="center" wrapText="1"/>
    </xf>
    <xf numFmtId="0" fontId="4" fillId="55" borderId="15" xfId="0" applyFont="1" applyFill="1" applyBorder="1" applyAlignment="1" applyProtection="1">
      <alignment horizontal="center" vertical="center" wrapText="1"/>
    </xf>
    <xf numFmtId="0" fontId="4" fillId="55" borderId="18" xfId="0" applyFont="1" applyFill="1" applyBorder="1" applyAlignment="1" applyProtection="1">
      <alignment horizontal="center" vertical="center" wrapText="1"/>
    </xf>
    <xf numFmtId="0" fontId="4" fillId="44" borderId="15" xfId="0" applyFont="1" applyFill="1" applyBorder="1" applyAlignment="1" applyProtection="1">
      <alignment horizontal="center" vertical="center" wrapText="1"/>
    </xf>
    <xf numFmtId="0" fontId="4" fillId="44" borderId="18" xfId="0" applyFont="1" applyFill="1" applyBorder="1" applyAlignment="1" applyProtection="1">
      <alignment horizontal="center" vertical="center" wrapText="1"/>
    </xf>
    <xf numFmtId="167" fontId="14" fillId="25" borderId="28" xfId="0" applyNumberFormat="1" applyFont="1" applyFill="1" applyBorder="1" applyAlignment="1" applyProtection="1">
      <alignment horizontal="center" vertical="center" wrapText="1"/>
      <protection locked="0"/>
    </xf>
    <xf numFmtId="167" fontId="14" fillId="25" borderId="27" xfId="0" applyNumberFormat="1" applyFont="1" applyFill="1" applyBorder="1" applyAlignment="1" applyProtection="1">
      <alignment horizontal="center" vertical="center" wrapText="1"/>
      <protection locked="0"/>
    </xf>
    <xf numFmtId="167" fontId="14" fillId="25" borderId="48" xfId="0" applyNumberFormat="1" applyFont="1" applyFill="1" applyBorder="1" applyAlignment="1" applyProtection="1">
      <alignment horizontal="center" vertical="center" wrapText="1"/>
      <protection locked="0"/>
    </xf>
    <xf numFmtId="0" fontId="44" fillId="30" borderId="71" xfId="0" applyFont="1" applyFill="1" applyBorder="1" applyAlignment="1" applyProtection="1">
      <alignment horizontal="center" vertical="top" wrapText="1"/>
      <protection hidden="1"/>
    </xf>
    <xf numFmtId="0" fontId="44" fillId="25" borderId="71" xfId="0" applyFont="1" applyFill="1" applyBorder="1" applyAlignment="1" applyProtection="1">
      <alignment horizontal="center" vertical="top"/>
      <protection locked="0"/>
    </xf>
    <xf numFmtId="0" fontId="14" fillId="25" borderId="71" xfId="0" applyFont="1" applyFill="1" applyBorder="1" applyAlignment="1" applyProtection="1">
      <alignment horizontal="center" vertical="top" wrapText="1"/>
      <protection locked="0"/>
    </xf>
    <xf numFmtId="0" fontId="44" fillId="44" borderId="12" xfId="0" applyFont="1" applyFill="1" applyBorder="1" applyAlignment="1" applyProtection="1">
      <alignment horizontal="center" vertical="top" wrapText="1"/>
      <protection locked="0" hidden="1"/>
    </xf>
    <xf numFmtId="0" fontId="44" fillId="44" borderId="15" xfId="0" applyFont="1" applyFill="1" applyBorder="1" applyAlignment="1" applyProtection="1">
      <alignment horizontal="center" vertical="top" wrapText="1"/>
      <protection locked="0" hidden="1"/>
    </xf>
    <xf numFmtId="0" fontId="44" fillId="44" borderId="11" xfId="0" applyFont="1" applyFill="1" applyBorder="1" applyAlignment="1" applyProtection="1">
      <alignment horizontal="center" vertical="top" wrapText="1"/>
      <protection locked="0" hidden="1"/>
    </xf>
    <xf numFmtId="0" fontId="44" fillId="30" borderId="10" xfId="0" applyFont="1" applyFill="1" applyBorder="1" applyAlignment="1" applyProtection="1">
      <alignment horizontal="center" vertical="top" wrapText="1"/>
      <protection hidden="1"/>
    </xf>
    <xf numFmtId="0" fontId="44" fillId="30" borderId="22" xfId="0" applyFont="1" applyFill="1" applyBorder="1" applyAlignment="1" applyProtection="1">
      <alignment horizontal="center" vertical="top" wrapText="1"/>
      <protection hidden="1"/>
    </xf>
    <xf numFmtId="0" fontId="44" fillId="44" borderId="10" xfId="0" applyFont="1" applyFill="1" applyBorder="1" applyAlignment="1" applyProtection="1">
      <alignment horizontal="center" vertical="top" wrapText="1"/>
      <protection locked="0" hidden="1"/>
    </xf>
    <xf numFmtId="0" fontId="44" fillId="44" borderId="22" xfId="0" applyFont="1" applyFill="1" applyBorder="1" applyAlignment="1" applyProtection="1">
      <alignment horizontal="center" vertical="top" wrapText="1"/>
      <protection locked="0" hidden="1"/>
    </xf>
    <xf numFmtId="0" fontId="13" fillId="25" borderId="10" xfId="0" applyFont="1" applyFill="1" applyBorder="1" applyAlignment="1" applyProtection="1">
      <alignment horizontal="center" vertical="center" wrapText="1"/>
      <protection locked="0"/>
    </xf>
    <xf numFmtId="0" fontId="44" fillId="41" borderId="28" xfId="0" applyFont="1" applyFill="1" applyBorder="1" applyAlignment="1" applyProtection="1">
      <alignment horizontal="center" vertical="center"/>
      <protection locked="0"/>
    </xf>
    <xf numFmtId="0" fontId="44" fillId="41" borderId="27" xfId="0" applyFont="1" applyFill="1" applyBorder="1" applyAlignment="1" applyProtection="1">
      <alignment horizontal="center" vertical="center"/>
      <protection locked="0"/>
    </xf>
    <xf numFmtId="0" fontId="44" fillId="41" borderId="29" xfId="0" applyFont="1" applyFill="1" applyBorder="1" applyAlignment="1" applyProtection="1">
      <alignment horizontal="center" vertical="center"/>
      <protection locked="0"/>
    </xf>
    <xf numFmtId="0" fontId="14" fillId="30" borderId="16" xfId="0" applyFont="1" applyFill="1" applyBorder="1" applyAlignment="1" applyProtection="1">
      <alignment horizontal="center" vertical="top" wrapText="1"/>
      <protection hidden="1"/>
    </xf>
    <xf numFmtId="0" fontId="14" fillId="30" borderId="15" xfId="0" applyFont="1" applyFill="1" applyBorder="1" applyAlignment="1" applyProtection="1">
      <alignment horizontal="center" vertical="top" wrapText="1"/>
      <protection hidden="1"/>
    </xf>
    <xf numFmtId="0" fontId="14" fillId="30" borderId="11" xfId="0" applyFont="1" applyFill="1" applyBorder="1" applyAlignment="1" applyProtection="1">
      <alignment horizontal="center" vertical="top" wrapText="1"/>
      <protection hidden="1"/>
    </xf>
    <xf numFmtId="0" fontId="44" fillId="25" borderId="12" xfId="0" applyFont="1" applyFill="1" applyBorder="1" applyAlignment="1" applyProtection="1">
      <alignment horizontal="center" vertical="center" wrapText="1"/>
      <protection locked="0"/>
    </xf>
    <xf numFmtId="0" fontId="44" fillId="25" borderId="15" xfId="0" applyFont="1" applyFill="1" applyBorder="1" applyAlignment="1" applyProtection="1">
      <alignment horizontal="center" vertical="center" wrapText="1"/>
      <protection locked="0"/>
    </xf>
    <xf numFmtId="0" fontId="44" fillId="25" borderId="18" xfId="0" applyFont="1" applyFill="1" applyBorder="1" applyAlignment="1" applyProtection="1">
      <alignment horizontal="center" vertical="center" wrapText="1"/>
      <protection locked="0"/>
    </xf>
    <xf numFmtId="0" fontId="14" fillId="30" borderId="19" xfId="0" applyFont="1" applyFill="1" applyBorder="1" applyAlignment="1" applyProtection="1">
      <alignment horizontal="center" vertical="center" wrapText="1"/>
      <protection hidden="1"/>
    </xf>
    <xf numFmtId="0" fontId="14" fillId="30" borderId="21" xfId="0" applyFont="1" applyFill="1" applyBorder="1" applyAlignment="1" applyProtection="1">
      <alignment horizontal="center" vertical="center" wrapText="1"/>
      <protection hidden="1"/>
    </xf>
    <xf numFmtId="0" fontId="14" fillId="30" borderId="83" xfId="0" applyFont="1" applyFill="1" applyBorder="1" applyAlignment="1" applyProtection="1">
      <alignment horizontal="center" vertical="center" wrapText="1"/>
      <protection hidden="1"/>
    </xf>
    <xf numFmtId="0" fontId="14" fillId="30" borderId="80" xfId="0" applyFont="1" applyFill="1" applyBorder="1" applyAlignment="1" applyProtection="1">
      <alignment horizontal="center" vertical="center" wrapText="1"/>
      <protection hidden="1"/>
    </xf>
    <xf numFmtId="0" fontId="44" fillId="25" borderId="26" xfId="0" applyFont="1" applyFill="1" applyBorder="1" applyAlignment="1" applyProtection="1">
      <alignment horizontal="center" vertical="center" wrapText="1"/>
      <protection locked="0"/>
    </xf>
    <xf numFmtId="0" fontId="44" fillId="25" borderId="35" xfId="0" applyFont="1" applyFill="1" applyBorder="1" applyAlignment="1" applyProtection="1">
      <alignment horizontal="center" vertical="center" wrapText="1"/>
      <protection locked="0"/>
    </xf>
    <xf numFmtId="0" fontId="44" fillId="30" borderId="19" xfId="0" applyFont="1" applyFill="1" applyBorder="1" applyAlignment="1" applyProtection="1">
      <alignment horizontal="center" vertical="center" wrapText="1"/>
      <protection hidden="1"/>
    </xf>
    <xf numFmtId="0" fontId="44" fillId="30" borderId="26" xfId="0" applyFont="1" applyFill="1" applyBorder="1" applyAlignment="1" applyProtection="1">
      <alignment horizontal="center" vertical="center" wrapText="1"/>
      <protection hidden="1"/>
    </xf>
    <xf numFmtId="0" fontId="44" fillId="30" borderId="21" xfId="0" applyFont="1" applyFill="1" applyBorder="1" applyAlignment="1" applyProtection="1">
      <alignment horizontal="center" vertical="center" wrapText="1"/>
      <protection hidden="1"/>
    </xf>
    <xf numFmtId="0" fontId="44" fillId="30" borderId="83" xfId="0" applyFont="1" applyFill="1" applyBorder="1" applyAlignment="1" applyProtection="1">
      <alignment horizontal="center" vertical="center" wrapText="1"/>
      <protection hidden="1"/>
    </xf>
    <xf numFmtId="0" fontId="44" fillId="30" borderId="35" xfId="0" applyFont="1" applyFill="1" applyBorder="1" applyAlignment="1" applyProtection="1">
      <alignment horizontal="center" vertical="center" wrapText="1"/>
      <protection hidden="1"/>
    </xf>
    <xf numFmtId="0" fontId="44" fillId="30" borderId="80" xfId="0" applyFont="1" applyFill="1" applyBorder="1" applyAlignment="1" applyProtection="1">
      <alignment horizontal="center" vertical="center" wrapText="1"/>
      <protection hidden="1"/>
    </xf>
    <xf numFmtId="0" fontId="44" fillId="29" borderId="19" xfId="0" applyFont="1" applyFill="1" applyBorder="1" applyAlignment="1" applyProtection="1">
      <alignment horizontal="center" vertical="center"/>
      <protection hidden="1"/>
    </xf>
    <xf numFmtId="0" fontId="44" fillId="29" borderId="83" xfId="0" applyFont="1" applyFill="1" applyBorder="1" applyAlignment="1" applyProtection="1">
      <alignment horizontal="center" vertical="center"/>
      <protection hidden="1"/>
    </xf>
    <xf numFmtId="0" fontId="44" fillId="41" borderId="22" xfId="0" applyFont="1" applyFill="1" applyBorder="1" applyAlignment="1" applyProtection="1">
      <alignment horizontal="center" vertical="center"/>
      <protection locked="0"/>
    </xf>
    <xf numFmtId="0" fontId="44" fillId="41" borderId="65" xfId="0" applyFont="1" applyFill="1" applyBorder="1" applyAlignment="1" applyProtection="1">
      <alignment horizontal="center" vertical="center"/>
      <protection locked="0"/>
    </xf>
    <xf numFmtId="0" fontId="44" fillId="29" borderId="20" xfId="0" applyFont="1" applyFill="1" applyBorder="1" applyAlignment="1" applyProtection="1">
      <alignment horizontal="center" vertical="center"/>
      <protection hidden="1"/>
    </xf>
    <xf numFmtId="0" fontId="44" fillId="25" borderId="19" xfId="0" applyFont="1" applyFill="1" applyBorder="1" applyAlignment="1" applyProtection="1">
      <alignment horizontal="center" vertical="center"/>
      <protection locked="0"/>
    </xf>
    <xf numFmtId="0" fontId="44" fillId="25" borderId="26" xfId="0" applyFont="1" applyFill="1" applyBorder="1" applyAlignment="1" applyProtection="1">
      <alignment horizontal="center" vertical="center"/>
      <protection locked="0"/>
    </xf>
    <xf numFmtId="0" fontId="44" fillId="25" borderId="21" xfId="0" applyFont="1" applyFill="1" applyBorder="1" applyAlignment="1" applyProtection="1">
      <alignment horizontal="center" vertical="center"/>
      <protection locked="0"/>
    </xf>
    <xf numFmtId="0" fontId="44" fillId="25" borderId="83" xfId="0" applyFont="1" applyFill="1" applyBorder="1" applyAlignment="1" applyProtection="1">
      <alignment horizontal="center" vertical="center"/>
      <protection locked="0"/>
    </xf>
    <xf numFmtId="0" fontId="44" fillId="25" borderId="35" xfId="0" applyFont="1" applyFill="1" applyBorder="1" applyAlignment="1" applyProtection="1">
      <alignment horizontal="center" vertical="center"/>
      <protection locked="0"/>
    </xf>
    <xf numFmtId="0" fontId="44" fillId="25" borderId="80" xfId="0" applyFont="1" applyFill="1" applyBorder="1" applyAlignment="1" applyProtection="1">
      <alignment horizontal="center" vertical="center"/>
      <protection locked="0"/>
    </xf>
    <xf numFmtId="0" fontId="44" fillId="30" borderId="22" xfId="0" applyFont="1" applyFill="1" applyBorder="1" applyAlignment="1" applyProtection="1">
      <alignment horizontal="center" vertical="center" wrapText="1"/>
      <protection hidden="1"/>
    </xf>
    <xf numFmtId="0" fontId="44" fillId="30" borderId="65" xfId="0" applyFont="1" applyFill="1" applyBorder="1" applyAlignment="1" applyProtection="1">
      <alignment horizontal="center" vertical="center" wrapText="1"/>
      <protection hidden="1"/>
    </xf>
    <xf numFmtId="0" fontId="44" fillId="25" borderId="21" xfId="0" applyFont="1" applyFill="1" applyBorder="1" applyAlignment="1" applyProtection="1">
      <alignment horizontal="center" vertical="center" wrapText="1"/>
      <protection locked="0"/>
    </xf>
    <xf numFmtId="0" fontId="44" fillId="25" borderId="0" xfId="0" applyFont="1" applyFill="1" applyBorder="1" applyAlignment="1" applyProtection="1">
      <alignment horizontal="center" vertical="center" wrapText="1"/>
      <protection locked="0"/>
    </xf>
    <xf numFmtId="0" fontId="44" fillId="25" borderId="30" xfId="0" applyFont="1" applyFill="1" applyBorder="1" applyAlignment="1" applyProtection="1">
      <alignment horizontal="center" vertical="center" wrapText="1"/>
      <protection locked="0"/>
    </xf>
    <xf numFmtId="0" fontId="13" fillId="25" borderId="24" xfId="0" applyFont="1" applyFill="1" applyBorder="1" applyAlignment="1" applyProtection="1">
      <alignment horizontal="center" vertical="center" wrapText="1"/>
      <protection locked="0"/>
    </xf>
    <xf numFmtId="0" fontId="62" fillId="25" borderId="12" xfId="0" applyNumberFormat="1" applyFont="1" applyFill="1" applyBorder="1" applyAlignment="1" applyProtection="1">
      <alignment horizontal="center" vertical="center" wrapText="1"/>
      <protection locked="0"/>
    </xf>
    <xf numFmtId="0" fontId="62" fillId="25" borderId="15" xfId="0" applyNumberFormat="1" applyFont="1" applyFill="1" applyBorder="1" applyAlignment="1" applyProtection="1">
      <alignment horizontal="center" vertical="center" wrapText="1"/>
      <protection locked="0"/>
    </xf>
    <xf numFmtId="0" fontId="62" fillId="25" borderId="18" xfId="0" applyNumberFormat="1" applyFont="1" applyFill="1" applyBorder="1" applyAlignment="1" applyProtection="1">
      <alignment horizontal="center" vertical="center" wrapText="1"/>
      <protection locked="0"/>
    </xf>
    <xf numFmtId="0" fontId="62" fillId="44" borderId="23" xfId="0" applyFont="1" applyFill="1" applyBorder="1" applyAlignment="1" applyProtection="1">
      <alignment horizontal="center" vertical="center" wrapText="1"/>
      <protection locked="0"/>
    </xf>
    <xf numFmtId="0" fontId="62" fillId="44" borderId="44" xfId="0" applyFont="1" applyFill="1" applyBorder="1" applyAlignment="1" applyProtection="1">
      <alignment horizontal="center" vertical="center" wrapText="1"/>
      <protection locked="0"/>
    </xf>
    <xf numFmtId="0" fontId="62" fillId="44" borderId="61" xfId="0" applyFont="1" applyFill="1" applyBorder="1" applyAlignment="1" applyProtection="1">
      <alignment horizontal="center" vertical="center" wrapText="1"/>
      <protection locked="0"/>
    </xf>
    <xf numFmtId="0" fontId="8" fillId="27" borderId="22" xfId="0" applyFont="1" applyFill="1" applyBorder="1" applyAlignment="1" applyProtection="1">
      <alignment horizontal="center" vertical="center" wrapText="1"/>
      <protection hidden="1"/>
    </xf>
    <xf numFmtId="0" fontId="8" fillId="27" borderId="25" xfId="0" applyFont="1" applyFill="1" applyBorder="1" applyAlignment="1" applyProtection="1">
      <alignment horizontal="center" vertical="center" wrapText="1"/>
      <protection hidden="1"/>
    </xf>
    <xf numFmtId="0" fontId="6" fillId="27" borderId="13" xfId="0" applyFont="1" applyFill="1" applyBorder="1" applyAlignment="1" applyProtection="1">
      <alignment horizontal="center" vertical="center"/>
      <protection hidden="1"/>
    </xf>
    <xf numFmtId="0" fontId="6" fillId="39" borderId="16" xfId="0" applyFont="1" applyFill="1" applyBorder="1" applyAlignment="1">
      <alignment horizontal="left" vertical="center" wrapText="1"/>
    </xf>
    <xf numFmtId="0" fontId="6" fillId="39" borderId="15" xfId="0" applyFont="1" applyFill="1" applyBorder="1" applyAlignment="1">
      <alignment horizontal="left" vertical="center" wrapText="1"/>
    </xf>
    <xf numFmtId="0" fontId="6" fillId="39" borderId="18" xfId="0" applyFont="1" applyFill="1" applyBorder="1" applyAlignment="1">
      <alignment horizontal="left" vertical="center" wrapText="1"/>
    </xf>
    <xf numFmtId="0" fontId="4" fillId="0" borderId="76" xfId="0" applyFont="1" applyFill="1" applyBorder="1" applyAlignment="1" applyProtection="1">
      <protection hidden="1"/>
    </xf>
    <xf numFmtId="0" fontId="4" fillId="0" borderId="78" xfId="0" applyFont="1" applyFill="1" applyBorder="1" applyAlignment="1" applyProtection="1">
      <protection hidden="1"/>
    </xf>
    <xf numFmtId="0" fontId="6" fillId="26" borderId="16" xfId="0" applyFont="1" applyFill="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168" fontId="14" fillId="38" borderId="17" xfId="0" applyNumberFormat="1" applyFont="1" applyFill="1" applyBorder="1" applyAlignment="1" applyProtection="1">
      <alignment horizontal="center" vertical="center"/>
      <protection hidden="1"/>
    </xf>
    <xf numFmtId="168" fontId="14" fillId="38" borderId="41" xfId="0" applyNumberFormat="1" applyFont="1" applyFill="1" applyBorder="1" applyAlignment="1" applyProtection="1">
      <alignment horizontal="center" vertical="center"/>
      <protection hidden="1"/>
    </xf>
    <xf numFmtId="168" fontId="14" fillId="40" borderId="11" xfId="0" applyNumberFormat="1" applyFont="1" applyFill="1" applyBorder="1" applyAlignment="1" applyProtection="1">
      <alignment horizontal="center" vertical="center" wrapText="1"/>
      <protection hidden="1"/>
    </xf>
    <xf numFmtId="168" fontId="14" fillId="40" borderId="67" xfId="0" applyNumberFormat="1" applyFont="1" applyFill="1" applyBorder="1" applyAlignment="1" applyProtection="1">
      <alignment horizontal="center" vertical="center" wrapText="1"/>
      <protection hidden="1"/>
    </xf>
    <xf numFmtId="0" fontId="14" fillId="38" borderId="22" xfId="0" applyFont="1" applyFill="1" applyBorder="1" applyAlignment="1" applyProtection="1">
      <alignment horizontal="center" vertical="center"/>
      <protection hidden="1"/>
    </xf>
    <xf numFmtId="0" fontId="14" fillId="38" borderId="65" xfId="0" applyFont="1" applyFill="1" applyBorder="1" applyAlignment="1" applyProtection="1">
      <alignment horizontal="center" vertical="center"/>
      <protection hidden="1"/>
    </xf>
    <xf numFmtId="0" fontId="6" fillId="27" borderId="22" xfId="0" applyFont="1" applyFill="1" applyBorder="1" applyAlignment="1" applyProtection="1">
      <alignment horizontal="center" vertical="center" wrapText="1"/>
      <protection hidden="1"/>
    </xf>
    <xf numFmtId="0" fontId="6" fillId="27" borderId="25" xfId="0" applyFont="1" applyFill="1" applyBorder="1" applyAlignment="1" applyProtection="1">
      <alignment horizontal="center" vertical="center" wrapText="1"/>
      <protection hidden="1"/>
    </xf>
    <xf numFmtId="0" fontId="78" fillId="38" borderId="56" xfId="0" applyFont="1" applyFill="1" applyBorder="1" applyAlignment="1" applyProtection="1">
      <alignment horizontal="center" vertical="center" wrapText="1"/>
      <protection hidden="1"/>
    </xf>
    <xf numFmtId="0" fontId="14" fillId="34" borderId="16" xfId="0" applyFont="1" applyFill="1" applyBorder="1" applyAlignment="1" applyProtection="1">
      <alignment horizontal="left" vertical="top" wrapText="1"/>
      <protection hidden="1"/>
    </xf>
    <xf numFmtId="0" fontId="59" fillId="38" borderId="63" xfId="0" applyFont="1" applyFill="1" applyBorder="1" applyAlignment="1" applyProtection="1">
      <alignment horizontal="center" wrapText="1"/>
      <protection hidden="1"/>
    </xf>
    <xf numFmtId="0" fontId="6" fillId="39" borderId="16" xfId="0" applyFont="1" applyFill="1" applyBorder="1" applyAlignment="1">
      <alignment horizontal="left" vertical="center"/>
    </xf>
    <xf numFmtId="0" fontId="6" fillId="39" borderId="15" xfId="0" applyFont="1" applyFill="1" applyBorder="1" applyAlignment="1">
      <alignment horizontal="left" vertical="center"/>
    </xf>
    <xf numFmtId="0" fontId="6" fillId="39" borderId="18" xfId="0" applyFont="1" applyFill="1" applyBorder="1" applyAlignment="1">
      <alignment horizontal="left" vertical="center"/>
    </xf>
    <xf numFmtId="0" fontId="6" fillId="35" borderId="68" xfId="0" applyFont="1" applyFill="1" applyBorder="1" applyAlignment="1" applyProtection="1">
      <alignment horizontal="center" vertical="center"/>
      <protection hidden="1"/>
    </xf>
    <xf numFmtId="0" fontId="6" fillId="35" borderId="69" xfId="0" applyFont="1" applyFill="1" applyBorder="1" applyAlignment="1" applyProtection="1">
      <alignment horizontal="center" vertical="center"/>
      <protection hidden="1"/>
    </xf>
    <xf numFmtId="0" fontId="6" fillId="35" borderId="70" xfId="0" applyFont="1" applyFill="1" applyBorder="1" applyAlignment="1" applyProtection="1">
      <alignment horizontal="center" vertical="center"/>
      <protection hidden="1"/>
    </xf>
    <xf numFmtId="0" fontId="6" fillId="35" borderId="47" xfId="0" applyFont="1" applyFill="1" applyBorder="1" applyAlignment="1" applyProtection="1">
      <alignment horizontal="center" vertical="center"/>
      <protection hidden="1"/>
    </xf>
    <xf numFmtId="0" fontId="6" fillId="35" borderId="27" xfId="0" applyFont="1" applyFill="1" applyBorder="1" applyAlignment="1" applyProtection="1">
      <alignment horizontal="center" vertical="center"/>
      <protection hidden="1"/>
    </xf>
    <xf numFmtId="0" fontId="6" fillId="35" borderId="48" xfId="0" applyFont="1" applyFill="1" applyBorder="1" applyAlignment="1" applyProtection="1">
      <alignment horizontal="center" vertical="center"/>
      <protection hidden="1"/>
    </xf>
    <xf numFmtId="0" fontId="14" fillId="38" borderId="13" xfId="0" applyFont="1" applyFill="1" applyBorder="1" applyAlignment="1" applyProtection="1">
      <alignment horizontal="center" vertical="center"/>
      <protection hidden="1"/>
    </xf>
    <xf numFmtId="0" fontId="14" fillId="38" borderId="33" xfId="0" applyFont="1" applyFill="1" applyBorder="1" applyAlignment="1" applyProtection="1">
      <alignment horizontal="center" vertical="center"/>
      <protection hidden="1"/>
    </xf>
    <xf numFmtId="0" fontId="6" fillId="27" borderId="17" xfId="0" applyFont="1" applyFill="1" applyBorder="1" applyAlignment="1" applyProtection="1">
      <alignment horizontal="center" vertical="center"/>
      <protection hidden="1"/>
    </xf>
    <xf numFmtId="0" fontId="36" fillId="27" borderId="17" xfId="0" applyFont="1" applyFill="1" applyBorder="1" applyAlignment="1" applyProtection="1">
      <alignment horizontal="center" vertical="center" wrapText="1"/>
      <protection hidden="1"/>
    </xf>
    <xf numFmtId="0" fontId="4" fillId="0" borderId="44" xfId="0" applyFont="1" applyBorder="1" applyAlignment="1" applyProtection="1">
      <alignment horizontal="center"/>
      <protection hidden="1"/>
    </xf>
    <xf numFmtId="0" fontId="4" fillId="0" borderId="67" xfId="0" applyFont="1" applyBorder="1" applyAlignment="1" applyProtection="1">
      <alignment horizontal="center"/>
      <protection hidden="1"/>
    </xf>
    <xf numFmtId="0" fontId="4" fillId="0" borderId="26" xfId="0" applyFont="1" applyFill="1" applyBorder="1" applyAlignment="1" applyProtection="1">
      <protection hidden="1"/>
    </xf>
    <xf numFmtId="0" fontId="4" fillId="0" borderId="21" xfId="0" applyFont="1" applyFill="1" applyBorder="1" applyAlignment="1" applyProtection="1">
      <protection hidden="1"/>
    </xf>
    <xf numFmtId="0" fontId="55" fillId="38" borderId="63" xfId="0" applyFont="1" applyFill="1" applyBorder="1" applyAlignment="1" applyProtection="1">
      <alignment horizontal="center" wrapText="1"/>
      <protection hidden="1"/>
    </xf>
    <xf numFmtId="0" fontId="44" fillId="0" borderId="13" xfId="0" applyFont="1" applyFill="1" applyBorder="1" applyAlignment="1" applyProtection="1">
      <alignment horizontal="center" vertical="center"/>
      <protection hidden="1"/>
    </xf>
    <xf numFmtId="0" fontId="44" fillId="0" borderId="33" xfId="0" applyFont="1" applyFill="1" applyBorder="1" applyAlignment="1" applyProtection="1">
      <alignment horizontal="center" vertical="center"/>
      <protection hidden="1"/>
    </xf>
    <xf numFmtId="0" fontId="44" fillId="0" borderId="31" xfId="0" applyFont="1" applyFill="1" applyBorder="1" applyAlignment="1" applyProtection="1">
      <alignment horizontal="center" vertical="center"/>
      <protection hidden="1"/>
    </xf>
    <xf numFmtId="0" fontId="44" fillId="0" borderId="32" xfId="0" applyFont="1" applyFill="1" applyBorder="1" applyAlignment="1" applyProtection="1">
      <alignment horizontal="center" vertical="center"/>
      <protection hidden="1"/>
    </xf>
    <xf numFmtId="0" fontId="44" fillId="0" borderId="10" xfId="0" applyFont="1" applyFill="1" applyBorder="1" applyAlignment="1" applyProtection="1">
      <alignment horizontal="center" vertical="center"/>
      <protection hidden="1"/>
    </xf>
    <xf numFmtId="0" fontId="44" fillId="0" borderId="24" xfId="0" applyFont="1" applyFill="1" applyBorder="1" applyAlignment="1" applyProtection="1">
      <alignment horizontal="center" vertical="center"/>
      <protection hidden="1"/>
    </xf>
    <xf numFmtId="168" fontId="14" fillId="38" borderId="37" xfId="0" applyNumberFormat="1" applyFont="1" applyFill="1" applyBorder="1" applyAlignment="1" applyProtection="1">
      <alignment horizontal="center" vertical="center"/>
      <protection hidden="1"/>
    </xf>
    <xf numFmtId="0" fontId="14" fillId="38" borderId="39" xfId="0" applyFont="1" applyFill="1" applyBorder="1" applyAlignment="1" applyProtection="1">
      <alignment horizontal="center" vertical="center"/>
      <protection hidden="1"/>
    </xf>
    <xf numFmtId="0" fontId="63" fillId="24" borderId="56" xfId="0" applyFont="1" applyFill="1" applyBorder="1" applyAlignment="1" applyProtection="1">
      <alignment horizontal="center" wrapText="1"/>
      <protection hidden="1"/>
    </xf>
    <xf numFmtId="0" fontId="63" fillId="24" borderId="49" xfId="0" applyFont="1" applyFill="1" applyBorder="1" applyAlignment="1" applyProtection="1">
      <alignment horizontal="center" wrapText="1"/>
      <protection hidden="1"/>
    </xf>
    <xf numFmtId="0" fontId="56" fillId="37" borderId="34" xfId="0" applyFont="1" applyFill="1" applyBorder="1" applyAlignment="1" applyProtection="1">
      <alignment horizontal="center" vertical="center" wrapText="1"/>
    </xf>
    <xf numFmtId="0" fontId="56" fillId="37" borderId="35" xfId="0" applyFont="1" applyFill="1" applyBorder="1" applyAlignment="1" applyProtection="1">
      <alignment horizontal="center" vertical="center" wrapText="1"/>
    </xf>
    <xf numFmtId="0" fontId="56" fillId="37" borderId="36" xfId="0" applyFont="1" applyFill="1" applyBorder="1" applyAlignment="1" applyProtection="1">
      <alignment horizontal="center" vertical="center" wrapText="1"/>
    </xf>
    <xf numFmtId="0" fontId="4" fillId="44" borderId="29" xfId="0" applyFont="1" applyFill="1" applyBorder="1" applyAlignment="1" applyProtection="1">
      <alignment horizontal="center" vertical="center" wrapText="1"/>
    </xf>
    <xf numFmtId="0" fontId="4" fillId="44" borderId="25" xfId="0" applyFont="1" applyFill="1" applyBorder="1" applyAlignment="1" applyProtection="1">
      <alignment horizontal="center" vertical="center" wrapText="1"/>
    </xf>
    <xf numFmtId="0" fontId="4" fillId="44" borderId="38" xfId="0" applyFont="1" applyFill="1" applyBorder="1" applyAlignment="1" applyProtection="1">
      <alignment horizontal="center" vertical="center" wrapText="1"/>
    </xf>
    <xf numFmtId="0" fontId="4" fillId="44" borderId="43" xfId="0" applyFont="1" applyFill="1" applyBorder="1" applyAlignment="1" applyProtection="1">
      <alignment horizontal="center" vertical="center" wrapText="1"/>
    </xf>
    <xf numFmtId="0" fontId="4" fillId="44" borderId="71" xfId="0" applyFont="1" applyFill="1" applyBorder="1" applyAlignment="1" applyProtection="1">
      <alignment horizontal="center" vertical="center" wrapText="1"/>
    </xf>
    <xf numFmtId="0" fontId="4" fillId="44" borderId="50" xfId="0" applyFont="1" applyFill="1" applyBorder="1" applyAlignment="1" applyProtection="1">
      <alignment horizontal="center" vertical="center" wrapText="1"/>
    </xf>
    <xf numFmtId="0" fontId="0" fillId="0" borderId="19" xfId="0" applyBorder="1" applyAlignment="1" applyProtection="1">
      <alignment horizontal="center"/>
    </xf>
    <xf numFmtId="0" fontId="0" fillId="0" borderId="21" xfId="0" applyBorder="1" applyAlignment="1" applyProtection="1">
      <alignment horizontal="center"/>
    </xf>
    <xf numFmtId="0" fontId="63" fillId="0" borderId="0" xfId="0" applyFont="1" applyAlignment="1" applyProtection="1">
      <alignment horizontal="center" textRotation="90"/>
    </xf>
    <xf numFmtId="0" fontId="4" fillId="0" borderId="19" xfId="0" applyFont="1" applyBorder="1" applyAlignment="1" applyProtection="1">
      <alignment horizontal="center"/>
    </xf>
    <xf numFmtId="0" fontId="4" fillId="0" borderId="21" xfId="0" applyFont="1" applyBorder="1" applyAlignment="1" applyProtection="1">
      <alignment horizontal="center"/>
    </xf>
    <xf numFmtId="0" fontId="0" fillId="53" borderId="20" xfId="0" applyFill="1" applyBorder="1" applyAlignment="1" applyProtection="1">
      <alignment horizontal="center"/>
    </xf>
    <xf numFmtId="0" fontId="0" fillId="53" borderId="30" xfId="0" applyFill="1" applyBorder="1" applyAlignment="1" applyProtection="1">
      <alignment horizontal="center"/>
    </xf>
    <xf numFmtId="0" fontId="56" fillId="43" borderId="10" xfId="0" applyFont="1" applyFill="1" applyBorder="1" applyAlignment="1" applyProtection="1">
      <alignment horizontal="center"/>
      <protection hidden="1"/>
    </xf>
    <xf numFmtId="0" fontId="55" fillId="45" borderId="10" xfId="0" applyFont="1" applyFill="1" applyBorder="1" applyAlignment="1" applyProtection="1">
      <alignment horizontal="center"/>
      <protection hidden="1"/>
    </xf>
    <xf numFmtId="0" fontId="56" fillId="43" borderId="12" xfId="0" applyFont="1" applyFill="1" applyBorder="1" applyAlignment="1" applyProtection="1">
      <alignment horizontal="center"/>
      <protection hidden="1"/>
    </xf>
    <xf numFmtId="0" fontId="56" fillId="43" borderId="11" xfId="0" applyFont="1" applyFill="1" applyBorder="1" applyAlignment="1" applyProtection="1">
      <alignment horizontal="center"/>
      <protection hidden="1"/>
    </xf>
    <xf numFmtId="0" fontId="55" fillId="45" borderId="12" xfId="0" applyFont="1" applyFill="1" applyBorder="1" applyAlignment="1" applyProtection="1">
      <alignment horizontal="center"/>
      <protection hidden="1"/>
    </xf>
    <xf numFmtId="0" fontId="55" fillId="45" borderId="11" xfId="0" applyFont="1" applyFill="1" applyBorder="1" applyAlignment="1" applyProtection="1">
      <alignment horizontal="center"/>
      <protection hidden="1"/>
    </xf>
    <xf numFmtId="0" fontId="55" fillId="0" borderId="12" xfId="0" applyFont="1" applyBorder="1" applyAlignment="1" applyProtection="1">
      <alignment horizontal="left" vertical="center" wrapText="1" indent="3"/>
      <protection hidden="1"/>
    </xf>
    <xf numFmtId="0" fontId="55" fillId="0" borderId="15" xfId="0" applyFont="1" applyBorder="1" applyAlignment="1" applyProtection="1">
      <alignment horizontal="left" vertical="center" wrapText="1" indent="3"/>
      <protection hidden="1"/>
    </xf>
    <xf numFmtId="0" fontId="55" fillId="0" borderId="11" xfId="0" applyFont="1" applyBorder="1" applyAlignment="1" applyProtection="1">
      <alignment horizontal="left" vertical="center" wrapText="1" indent="3"/>
      <protection hidden="1"/>
    </xf>
    <xf numFmtId="0" fontId="6" fillId="0" borderId="85" xfId="0" applyFont="1" applyFill="1" applyBorder="1" applyAlignment="1" applyProtection="1">
      <alignment horizontal="center"/>
      <protection hidden="1"/>
    </xf>
    <xf numFmtId="0" fontId="6" fillId="0" borderId="86" xfId="0" applyFont="1" applyFill="1" applyBorder="1" applyAlignment="1" applyProtection="1">
      <alignment horizontal="center"/>
      <protection hidden="1"/>
    </xf>
    <xf numFmtId="0" fontId="56" fillId="25" borderId="12" xfId="0" quotePrefix="1" applyNumberFormat="1" applyFont="1" applyFill="1" applyBorder="1" applyAlignment="1" applyProtection="1">
      <alignment horizontal="center" vertical="center"/>
    </xf>
    <xf numFmtId="0" fontId="56" fillId="25" borderId="11" xfId="0" applyNumberFormat="1" applyFont="1" applyFill="1" applyBorder="1" applyAlignment="1" applyProtection="1">
      <alignment horizontal="center" vertical="center"/>
    </xf>
    <xf numFmtId="0" fontId="56" fillId="27" borderId="12" xfId="0" applyFont="1" applyFill="1" applyBorder="1" applyAlignment="1" applyProtection="1">
      <alignment horizontal="center" vertical="center" wrapText="1"/>
      <protection hidden="1"/>
    </xf>
    <xf numFmtId="0" fontId="56" fillId="27" borderId="29" xfId="0" applyFont="1" applyFill="1" applyBorder="1" applyAlignment="1" applyProtection="1">
      <alignment horizontal="center" vertical="center" wrapText="1"/>
      <protection hidden="1"/>
    </xf>
    <xf numFmtId="0" fontId="4" fillId="43" borderId="19" xfId="0" applyFont="1" applyFill="1" applyBorder="1" applyAlignment="1" applyProtection="1">
      <alignment horizontal="left" vertical="center" wrapText="1"/>
      <protection hidden="1"/>
    </xf>
    <xf numFmtId="0" fontId="4" fillId="43" borderId="26" xfId="0" applyFont="1" applyFill="1" applyBorder="1" applyAlignment="1" applyProtection="1">
      <alignment horizontal="left" vertical="center" wrapText="1"/>
      <protection hidden="1"/>
    </xf>
    <xf numFmtId="0" fontId="4" fillId="43" borderId="21" xfId="0" applyFont="1" applyFill="1" applyBorder="1" applyAlignment="1" applyProtection="1">
      <alignment horizontal="left" vertical="center" wrapText="1"/>
      <protection hidden="1"/>
    </xf>
    <xf numFmtId="0" fontId="4" fillId="43" borderId="28" xfId="0" applyFont="1" applyFill="1" applyBorder="1" applyAlignment="1" applyProtection="1">
      <alignment horizontal="left" vertical="center" wrapText="1"/>
      <protection hidden="1"/>
    </xf>
    <xf numFmtId="0" fontId="4" fillId="43" borderId="27" xfId="0" applyFont="1" applyFill="1" applyBorder="1" applyAlignment="1" applyProtection="1">
      <alignment horizontal="left" vertical="center" wrapText="1"/>
      <protection hidden="1"/>
    </xf>
    <xf numFmtId="0" fontId="4" fillId="43" borderId="29" xfId="0" applyFont="1" applyFill="1" applyBorder="1" applyAlignment="1" applyProtection="1">
      <alignment horizontal="left" vertical="center" wrapText="1"/>
      <protection hidden="1"/>
    </xf>
    <xf numFmtId="0" fontId="56" fillId="40" borderId="51" xfId="0" applyFont="1" applyFill="1" applyBorder="1" applyAlignment="1" applyProtection="1">
      <alignment horizontal="center" vertical="center" wrapText="1"/>
      <protection hidden="1"/>
    </xf>
    <xf numFmtId="0" fontId="56" fillId="40" borderId="53" xfId="0" applyFont="1" applyFill="1" applyBorder="1" applyAlignment="1" applyProtection="1">
      <alignment horizontal="center" vertical="center" wrapText="1"/>
      <protection hidden="1"/>
    </xf>
    <xf numFmtId="0" fontId="56" fillId="43" borderId="12" xfId="0" applyFont="1" applyFill="1" applyBorder="1" applyAlignment="1" applyProtection="1">
      <alignment horizontal="center" vertical="center" wrapText="1"/>
      <protection hidden="1"/>
    </xf>
    <xf numFmtId="0" fontId="56" fillId="43" borderId="87" xfId="0" applyFont="1" applyFill="1" applyBorder="1" applyAlignment="1" applyProtection="1">
      <alignment horizontal="center" vertical="center" wrapText="1"/>
      <protection hidden="1"/>
    </xf>
    <xf numFmtId="171" fontId="61" fillId="40" borderId="12" xfId="0" applyNumberFormat="1" applyFont="1" applyFill="1" applyBorder="1" applyAlignment="1" applyProtection="1">
      <alignment horizontal="center" vertical="center" wrapText="1"/>
      <protection hidden="1"/>
    </xf>
    <xf numFmtId="171" fontId="61" fillId="40" borderId="87" xfId="0" applyNumberFormat="1" applyFont="1" applyFill="1" applyBorder="1" applyAlignment="1" applyProtection="1">
      <alignment horizontal="center" vertical="center" wrapText="1"/>
      <protection hidden="1"/>
    </xf>
    <xf numFmtId="0" fontId="43" fillId="32" borderId="20" xfId="0" applyFont="1" applyFill="1" applyBorder="1" applyAlignment="1" applyProtection="1">
      <alignment horizontal="center" vertical="center" wrapText="1"/>
      <protection hidden="1"/>
    </xf>
    <xf numFmtId="0" fontId="56" fillId="43" borderId="22" xfId="0" applyFont="1" applyFill="1" applyBorder="1" applyAlignment="1" applyProtection="1">
      <alignment horizontal="center" vertical="center" wrapText="1"/>
      <protection hidden="1"/>
    </xf>
    <xf numFmtId="0" fontId="56" fillId="43" borderId="25" xfId="0" applyFont="1" applyFill="1" applyBorder="1" applyAlignment="1" applyProtection="1">
      <alignment horizontal="center" vertical="center" wrapText="1"/>
      <protection hidden="1"/>
    </xf>
    <xf numFmtId="0" fontId="56" fillId="43" borderId="85" xfId="0" applyFont="1" applyFill="1" applyBorder="1" applyAlignment="1" applyProtection="1">
      <alignment horizontal="center" vertical="center" wrapText="1"/>
      <protection hidden="1"/>
    </xf>
    <xf numFmtId="0" fontId="56" fillId="43" borderId="86" xfId="0" applyFont="1" applyFill="1" applyBorder="1" applyAlignment="1" applyProtection="1">
      <alignment horizontal="center" vertical="center" wrapText="1"/>
      <protection hidden="1"/>
    </xf>
    <xf numFmtId="0" fontId="62" fillId="27" borderId="12" xfId="0" applyFont="1" applyFill="1" applyBorder="1" applyAlignment="1" applyProtection="1">
      <alignment horizontal="left" vertical="center"/>
      <protection hidden="1"/>
    </xf>
    <xf numFmtId="0" fontId="62" fillId="27" borderId="15" xfId="0" applyFont="1" applyFill="1" applyBorder="1" applyAlignment="1" applyProtection="1">
      <alignment horizontal="left" vertical="center"/>
      <protection hidden="1"/>
    </xf>
    <xf numFmtId="0" fontId="62" fillId="27" borderId="11" xfId="0" applyFont="1" applyFill="1" applyBorder="1" applyAlignment="1" applyProtection="1">
      <alignment horizontal="left" vertical="center"/>
      <protection hidden="1"/>
    </xf>
    <xf numFmtId="170" fontId="56" fillId="34" borderId="22" xfId="0" applyNumberFormat="1" applyFont="1" applyFill="1" applyBorder="1" applyAlignment="1" applyProtection="1">
      <alignment horizontal="center" vertical="center"/>
      <protection hidden="1"/>
    </xf>
    <xf numFmtId="170" fontId="56" fillId="34" borderId="25" xfId="0" applyNumberFormat="1" applyFont="1" applyFill="1" applyBorder="1" applyAlignment="1" applyProtection="1">
      <alignment horizontal="center" vertical="center"/>
      <protection hidden="1"/>
    </xf>
    <xf numFmtId="0" fontId="56" fillId="34" borderId="22" xfId="0" applyFont="1" applyFill="1" applyBorder="1" applyAlignment="1" applyProtection="1">
      <alignment horizontal="center" vertical="center"/>
      <protection hidden="1"/>
    </xf>
    <xf numFmtId="0" fontId="56" fillId="34" borderId="25" xfId="0" applyFont="1" applyFill="1" applyBorder="1" applyAlignment="1" applyProtection="1">
      <alignment horizontal="center" vertical="center"/>
      <protection hidden="1"/>
    </xf>
    <xf numFmtId="0" fontId="44" fillId="25" borderId="22" xfId="0" applyFont="1" applyFill="1" applyBorder="1" applyAlignment="1" applyProtection="1">
      <alignment horizontal="center" vertical="center"/>
      <protection locked="0"/>
    </xf>
    <xf numFmtId="0" fontId="44" fillId="25" borderId="39" xfId="0" applyFont="1" applyFill="1" applyBorder="1" applyAlignment="1" applyProtection="1">
      <alignment horizontal="center" vertical="center"/>
      <protection locked="0"/>
    </xf>
    <xf numFmtId="0" fontId="44" fillId="25" borderId="25" xfId="0" applyFont="1" applyFill="1" applyBorder="1" applyAlignment="1" applyProtection="1">
      <alignment horizontal="center" vertical="center"/>
      <protection locked="0"/>
    </xf>
    <xf numFmtId="0" fontId="57" fillId="43" borderId="28" xfId="0" applyFont="1" applyFill="1" applyBorder="1" applyAlignment="1" applyProtection="1">
      <alignment horizontal="center" vertical="top" wrapText="1"/>
      <protection hidden="1"/>
    </xf>
    <xf numFmtId="0" fontId="57" fillId="43" borderId="27" xfId="0" applyFont="1" applyFill="1" applyBorder="1" applyAlignment="1" applyProtection="1">
      <alignment horizontal="center" vertical="top" wrapText="1"/>
      <protection hidden="1"/>
    </xf>
    <xf numFmtId="0" fontId="57" fillId="43" borderId="29" xfId="0" applyFont="1" applyFill="1" applyBorder="1" applyAlignment="1" applyProtection="1">
      <alignment horizontal="center" vertical="top" wrapText="1"/>
      <protection hidden="1"/>
    </xf>
    <xf numFmtId="0" fontId="56" fillId="43" borderId="22" xfId="0" applyFont="1" applyFill="1" applyBorder="1" applyAlignment="1" applyProtection="1">
      <alignment horizontal="center" vertical="top" wrapText="1"/>
      <protection hidden="1"/>
    </xf>
    <xf numFmtId="0" fontId="56" fillId="43" borderId="22" xfId="0" applyFont="1" applyFill="1" applyBorder="1" applyAlignment="1" applyProtection="1">
      <alignment horizontal="center" vertical="top"/>
      <protection hidden="1"/>
    </xf>
    <xf numFmtId="0" fontId="44" fillId="42" borderId="12" xfId="0" applyFont="1" applyFill="1" applyBorder="1" applyAlignment="1" applyProtection="1">
      <alignment horizontal="center" vertical="top" wrapText="1"/>
      <protection hidden="1"/>
    </xf>
    <xf numFmtId="0" fontId="44" fillId="42" borderId="15" xfId="0" applyFont="1" applyFill="1" applyBorder="1" applyAlignment="1" applyProtection="1">
      <alignment horizontal="center" vertical="top" wrapText="1"/>
      <protection hidden="1"/>
    </xf>
    <xf numFmtId="0" fontId="44" fillId="42" borderId="11" xfId="0" applyFont="1" applyFill="1" applyBorder="1" applyAlignment="1" applyProtection="1">
      <alignment horizontal="center" vertical="top" wrapText="1"/>
      <protection hidden="1"/>
    </xf>
    <xf numFmtId="170" fontId="56" fillId="40" borderId="22" xfId="0" applyNumberFormat="1" applyFont="1" applyFill="1" applyBorder="1" applyAlignment="1" applyProtection="1">
      <alignment horizontal="center" vertical="center" wrapText="1"/>
      <protection hidden="1"/>
    </xf>
    <xf numFmtId="170" fontId="56" fillId="40" borderId="25" xfId="0" applyNumberFormat="1" applyFont="1" applyFill="1" applyBorder="1" applyAlignment="1" applyProtection="1">
      <alignment horizontal="center" vertical="center" wrapText="1"/>
      <protection hidden="1"/>
    </xf>
    <xf numFmtId="0" fontId="56" fillId="0" borderId="10" xfId="0" applyFont="1" applyFill="1" applyBorder="1" applyAlignment="1" applyProtection="1">
      <alignment horizontal="left" vertical="center"/>
      <protection hidden="1"/>
    </xf>
    <xf numFmtId="9" fontId="61" fillId="38" borderId="19" xfId="58" applyFont="1" applyFill="1" applyBorder="1" applyAlignment="1" applyProtection="1">
      <alignment horizontal="center" vertical="center"/>
      <protection hidden="1"/>
    </xf>
    <xf numFmtId="9" fontId="61" fillId="38" borderId="21" xfId="58" applyFont="1" applyFill="1" applyBorder="1" applyAlignment="1" applyProtection="1">
      <alignment horizontal="center" vertical="center"/>
      <protection hidden="1"/>
    </xf>
    <xf numFmtId="9" fontId="61" fillId="38" borderId="20" xfId="58" applyFont="1" applyFill="1" applyBorder="1" applyAlignment="1" applyProtection="1">
      <alignment horizontal="center" vertical="center"/>
      <protection hidden="1"/>
    </xf>
    <xf numFmtId="9" fontId="61" fillId="38" borderId="30" xfId="58" applyFont="1" applyFill="1" applyBorder="1" applyAlignment="1" applyProtection="1">
      <alignment horizontal="center" vertical="center"/>
      <protection hidden="1"/>
    </xf>
    <xf numFmtId="9" fontId="61" fillId="38" borderId="28" xfId="58" applyFont="1" applyFill="1" applyBorder="1" applyAlignment="1" applyProtection="1">
      <alignment horizontal="center" vertical="center"/>
      <protection hidden="1"/>
    </xf>
    <xf numFmtId="9" fontId="61" fillId="38" borderId="29" xfId="58" applyFont="1" applyFill="1" applyBorder="1" applyAlignment="1" applyProtection="1">
      <alignment horizontal="center" vertical="center"/>
      <protection hidden="1"/>
    </xf>
    <xf numFmtId="0" fontId="56" fillId="45" borderId="12" xfId="0" applyFont="1" applyFill="1" applyBorder="1" applyAlignment="1" applyProtection="1">
      <alignment horizontal="center" vertical="center" wrapText="1"/>
      <protection hidden="1"/>
    </xf>
    <xf numFmtId="0" fontId="56" fillId="45" borderId="15" xfId="0" applyFont="1" applyFill="1" applyBorder="1" applyAlignment="1" applyProtection="1">
      <alignment horizontal="center" vertical="center" wrapText="1"/>
      <protection hidden="1"/>
    </xf>
    <xf numFmtId="0" fontId="56" fillId="45" borderId="11" xfId="0" applyFont="1" applyFill="1" applyBorder="1" applyAlignment="1" applyProtection="1">
      <alignment horizontal="center" vertical="center" wrapText="1"/>
      <protection hidden="1"/>
    </xf>
    <xf numFmtId="0" fontId="56" fillId="43" borderId="22" xfId="0" applyFont="1" applyFill="1" applyBorder="1" applyAlignment="1" applyProtection="1">
      <alignment horizontal="center" vertical="center"/>
      <protection hidden="1"/>
    </xf>
    <xf numFmtId="0" fontId="56" fillId="43" borderId="25" xfId="0" applyFont="1" applyFill="1" applyBorder="1" applyAlignment="1" applyProtection="1">
      <alignment horizontal="center" vertical="center"/>
      <protection hidden="1"/>
    </xf>
    <xf numFmtId="0" fontId="36" fillId="38" borderId="19" xfId="0" applyFont="1" applyFill="1" applyBorder="1" applyAlignment="1" applyProtection="1">
      <alignment horizontal="center" wrapText="1"/>
      <protection hidden="1"/>
    </xf>
    <xf numFmtId="0" fontId="36" fillId="38" borderId="26" xfId="0" applyFont="1" applyFill="1" applyBorder="1" applyAlignment="1" applyProtection="1">
      <alignment horizontal="center" wrapText="1"/>
      <protection hidden="1"/>
    </xf>
    <xf numFmtId="0" fontId="36" fillId="38" borderId="20" xfId="0" applyFont="1" applyFill="1" applyBorder="1" applyAlignment="1" applyProtection="1">
      <alignment horizontal="center" wrapText="1"/>
      <protection hidden="1"/>
    </xf>
    <xf numFmtId="0" fontId="36" fillId="38" borderId="0" xfId="0" applyFont="1" applyFill="1" applyAlignment="1" applyProtection="1">
      <alignment horizontal="center" wrapText="1"/>
      <protection hidden="1"/>
    </xf>
    <xf numFmtId="0" fontId="56" fillId="43" borderId="19" xfId="0" applyFont="1" applyFill="1" applyBorder="1" applyAlignment="1" applyProtection="1">
      <alignment horizontal="center" vertical="center" wrapText="1"/>
      <protection hidden="1"/>
    </xf>
    <xf numFmtId="0" fontId="56" fillId="43" borderId="26" xfId="0" applyFont="1" applyFill="1" applyBorder="1" applyAlignment="1" applyProtection="1">
      <alignment horizontal="center" vertical="center" wrapText="1"/>
      <protection hidden="1"/>
    </xf>
    <xf numFmtId="0" fontId="56" fillId="43" borderId="21" xfId="0" applyFont="1" applyFill="1" applyBorder="1" applyAlignment="1" applyProtection="1">
      <alignment horizontal="center" vertical="center" wrapText="1"/>
      <protection hidden="1"/>
    </xf>
    <xf numFmtId="0" fontId="56" fillId="43" borderId="20" xfId="0" applyFont="1" applyFill="1" applyBorder="1" applyAlignment="1" applyProtection="1">
      <alignment horizontal="center" vertical="center" wrapText="1"/>
      <protection hidden="1"/>
    </xf>
    <xf numFmtId="0" fontId="56" fillId="43" borderId="0" xfId="0" applyFont="1" applyFill="1" applyBorder="1" applyAlignment="1" applyProtection="1">
      <alignment horizontal="center" vertical="center" wrapText="1"/>
      <protection hidden="1"/>
    </xf>
    <xf numFmtId="0" fontId="56" fillId="43" borderId="30" xfId="0" applyFont="1" applyFill="1" applyBorder="1" applyAlignment="1" applyProtection="1">
      <alignment horizontal="center" vertical="center" wrapText="1"/>
      <protection hidden="1"/>
    </xf>
    <xf numFmtId="0" fontId="55" fillId="41" borderId="10" xfId="0" applyFont="1" applyFill="1" applyBorder="1" applyAlignment="1" applyProtection="1">
      <alignment horizontal="center"/>
      <protection locked="0"/>
    </xf>
    <xf numFmtId="0" fontId="55" fillId="41" borderId="22" xfId="0" applyFont="1" applyFill="1" applyBorder="1" applyAlignment="1" applyProtection="1">
      <alignment horizontal="center"/>
      <protection locked="0"/>
    </xf>
    <xf numFmtId="0" fontId="61" fillId="44" borderId="10" xfId="0" applyFont="1" applyFill="1" applyBorder="1" applyAlignment="1" applyProtection="1">
      <alignment horizontal="center" vertical="center"/>
      <protection locked="0" hidden="1"/>
    </xf>
    <xf numFmtId="0" fontId="8" fillId="24" borderId="0" xfId="0" applyFont="1" applyFill="1" applyBorder="1" applyAlignment="1" applyProtection="1">
      <alignment horizontal="left" vertical="top" wrapText="1"/>
      <protection hidden="1"/>
    </xf>
    <xf numFmtId="0" fontId="56" fillId="34" borderId="10" xfId="0" applyFont="1" applyFill="1" applyBorder="1" applyAlignment="1" applyProtection="1">
      <alignment horizontal="center" vertical="center"/>
      <protection hidden="1"/>
    </xf>
    <xf numFmtId="0" fontId="55" fillId="24" borderId="12" xfId="0" applyFont="1" applyFill="1" applyBorder="1" applyAlignment="1" applyProtection="1">
      <alignment horizontal="center"/>
      <protection hidden="1"/>
    </xf>
    <xf numFmtId="0" fontId="55" fillId="24" borderId="15" xfId="0" applyFont="1" applyFill="1" applyBorder="1" applyAlignment="1" applyProtection="1">
      <alignment horizontal="center"/>
      <protection hidden="1"/>
    </xf>
    <xf numFmtId="0" fontId="55" fillId="24" borderId="11" xfId="0" applyFont="1" applyFill="1" applyBorder="1" applyAlignment="1" applyProtection="1">
      <alignment horizontal="center"/>
      <protection hidden="1"/>
    </xf>
    <xf numFmtId="0" fontId="55" fillId="0" borderId="19" xfId="0" applyFont="1" applyFill="1" applyBorder="1" applyAlignment="1" applyProtection="1">
      <alignment horizontal="left" vertical="center"/>
      <protection hidden="1"/>
    </xf>
    <xf numFmtId="0" fontId="55" fillId="0" borderId="21" xfId="0" applyFont="1" applyFill="1" applyBorder="1" applyAlignment="1" applyProtection="1">
      <alignment horizontal="left" vertical="center"/>
      <protection hidden="1"/>
    </xf>
    <xf numFmtId="0" fontId="55" fillId="0" borderId="28" xfId="0" applyFont="1" applyFill="1" applyBorder="1" applyAlignment="1" applyProtection="1">
      <alignment horizontal="left" vertical="center"/>
      <protection hidden="1"/>
    </xf>
    <xf numFmtId="0" fontId="55" fillId="0" borderId="29" xfId="0" applyFont="1" applyFill="1" applyBorder="1" applyAlignment="1" applyProtection="1">
      <alignment horizontal="left" vertical="center"/>
      <protection hidden="1"/>
    </xf>
    <xf numFmtId="0" fontId="44" fillId="27" borderId="19" xfId="0" applyFont="1" applyFill="1" applyBorder="1" applyAlignment="1" applyProtection="1">
      <alignment horizontal="center" vertical="center"/>
      <protection hidden="1"/>
    </xf>
    <xf numFmtId="0" fontId="44" fillId="27" borderId="26" xfId="0" applyFont="1" applyFill="1" applyBorder="1" applyAlignment="1" applyProtection="1">
      <alignment horizontal="center" vertical="center"/>
      <protection hidden="1"/>
    </xf>
    <xf numFmtId="0" fontId="44" fillId="27" borderId="21" xfId="0" applyFont="1" applyFill="1" applyBorder="1" applyAlignment="1" applyProtection="1">
      <alignment horizontal="center" vertical="center"/>
      <protection hidden="1"/>
    </xf>
    <xf numFmtId="0" fontId="44" fillId="27" borderId="28" xfId="0" applyFont="1" applyFill="1" applyBorder="1" applyAlignment="1" applyProtection="1">
      <alignment horizontal="center" vertical="center"/>
      <protection hidden="1"/>
    </xf>
    <xf numFmtId="0" fontId="44" fillId="27" borderId="27" xfId="0" applyFont="1" applyFill="1" applyBorder="1" applyAlignment="1" applyProtection="1">
      <alignment horizontal="center" vertical="center"/>
      <protection hidden="1"/>
    </xf>
    <xf numFmtId="0" fontId="44" fillId="27" borderId="29" xfId="0" applyFont="1" applyFill="1" applyBorder="1" applyAlignment="1" applyProtection="1">
      <alignment horizontal="center" vertical="center"/>
      <protection hidden="1"/>
    </xf>
    <xf numFmtId="0" fontId="4" fillId="38" borderId="0" xfId="0" applyFont="1" applyFill="1" applyBorder="1" applyAlignment="1" applyProtection="1">
      <alignment horizontal="center" vertical="center" wrapText="1"/>
      <protection hidden="1"/>
    </xf>
    <xf numFmtId="0" fontId="37" fillId="38" borderId="0" xfId="0" applyFont="1" applyFill="1" applyBorder="1" applyAlignment="1" applyProtection="1">
      <alignment horizontal="center" vertical="center"/>
      <protection hidden="1"/>
    </xf>
    <xf numFmtId="0" fontId="56" fillId="0" borderId="10" xfId="0" applyFont="1" applyBorder="1" applyAlignment="1" applyProtection="1">
      <alignment horizontal="left" vertical="center"/>
      <protection hidden="1"/>
    </xf>
    <xf numFmtId="0" fontId="56" fillId="35" borderId="12" xfId="0" applyFont="1" applyFill="1" applyBorder="1" applyAlignment="1" applyProtection="1">
      <alignment horizontal="center" vertical="top" wrapText="1"/>
      <protection hidden="1"/>
    </xf>
    <xf numFmtId="0" fontId="56" fillId="35" borderId="15" xfId="0" applyFont="1" applyFill="1" applyBorder="1" applyAlignment="1" applyProtection="1">
      <alignment horizontal="center" vertical="top" wrapText="1"/>
      <protection hidden="1"/>
    </xf>
    <xf numFmtId="0" fontId="56" fillId="35" borderId="11" xfId="0" applyFont="1" applyFill="1" applyBorder="1" applyAlignment="1" applyProtection="1">
      <alignment horizontal="center" vertical="top" wrapText="1"/>
      <protection hidden="1"/>
    </xf>
    <xf numFmtId="0" fontId="44" fillId="35" borderId="12" xfId="0" applyFont="1" applyFill="1" applyBorder="1" applyAlignment="1" applyProtection="1">
      <alignment horizontal="center" vertical="top" wrapText="1"/>
      <protection hidden="1"/>
    </xf>
    <xf numFmtId="0" fontId="44" fillId="35" borderId="15" xfId="0" applyFont="1" applyFill="1" applyBorder="1" applyAlignment="1" applyProtection="1">
      <alignment horizontal="center" vertical="top" wrapText="1"/>
      <protection hidden="1"/>
    </xf>
    <xf numFmtId="0" fontId="44" fillId="35" borderId="11" xfId="0" applyFont="1" applyFill="1" applyBorder="1" applyAlignment="1" applyProtection="1">
      <alignment horizontal="center" vertical="top" wrapText="1"/>
      <protection hidden="1"/>
    </xf>
    <xf numFmtId="0" fontId="56" fillId="45" borderId="10" xfId="0" applyFont="1" applyFill="1" applyBorder="1" applyAlignment="1" applyProtection="1">
      <alignment horizontal="center" vertical="center" wrapText="1"/>
      <protection hidden="1"/>
    </xf>
    <xf numFmtId="0" fontId="56" fillId="34" borderId="20" xfId="0" applyFont="1" applyFill="1" applyBorder="1" applyAlignment="1" applyProtection="1">
      <alignment horizontal="center" vertical="center" wrapText="1"/>
      <protection hidden="1"/>
    </xf>
    <xf numFmtId="0" fontId="56" fillId="34" borderId="0" xfId="0" applyFont="1" applyFill="1" applyBorder="1" applyAlignment="1" applyProtection="1">
      <alignment horizontal="center" vertical="center" wrapText="1"/>
      <protection hidden="1"/>
    </xf>
    <xf numFmtId="0" fontId="56" fillId="34" borderId="30" xfId="0" applyFont="1" applyFill="1" applyBorder="1" applyAlignment="1" applyProtection="1">
      <alignment horizontal="center" vertical="center" wrapText="1"/>
      <protection hidden="1"/>
    </xf>
    <xf numFmtId="0" fontId="64" fillId="0" borderId="12" xfId="0" applyFont="1" applyFill="1" applyBorder="1" applyAlignment="1" applyProtection="1">
      <alignment horizontal="center" vertical="top" wrapText="1"/>
      <protection hidden="1"/>
    </xf>
    <xf numFmtId="0" fontId="64" fillId="0" borderId="15" xfId="0" applyFont="1" applyFill="1" applyBorder="1" applyAlignment="1" applyProtection="1">
      <alignment horizontal="center" vertical="top" wrapText="1"/>
      <protection hidden="1"/>
    </xf>
    <xf numFmtId="0" fontId="64" fillId="0" borderId="11" xfId="0" applyFont="1" applyFill="1" applyBorder="1" applyAlignment="1" applyProtection="1">
      <alignment horizontal="center" vertical="top" wrapText="1"/>
      <protection hidden="1"/>
    </xf>
    <xf numFmtId="0" fontId="86" fillId="38" borderId="0" xfId="0" applyFont="1" applyFill="1" applyAlignment="1" applyProtection="1">
      <alignment horizontal="center" wrapText="1"/>
      <protection hidden="1"/>
    </xf>
    <xf numFmtId="0" fontId="58" fillId="39" borderId="12" xfId="0" applyFont="1" applyFill="1" applyBorder="1" applyAlignment="1" applyProtection="1">
      <alignment horizontal="center" vertical="center" wrapText="1"/>
      <protection hidden="1"/>
    </xf>
    <xf numFmtId="0" fontId="58" fillId="39" borderId="11" xfId="0" applyFont="1" applyFill="1" applyBorder="1" applyAlignment="1" applyProtection="1">
      <alignment horizontal="center" vertical="center" wrapText="1"/>
      <protection hidden="1"/>
    </xf>
    <xf numFmtId="0" fontId="56" fillId="27" borderId="22" xfId="0" applyFont="1" applyFill="1" applyBorder="1" applyAlignment="1" applyProtection="1">
      <alignment horizontal="center" vertical="center" wrapText="1"/>
      <protection hidden="1"/>
    </xf>
    <xf numFmtId="0" fontId="56" fillId="27" borderId="25" xfId="0" applyFont="1" applyFill="1" applyBorder="1" applyAlignment="1" applyProtection="1">
      <alignment horizontal="center" vertical="center" wrapText="1"/>
      <protection hidden="1"/>
    </xf>
    <xf numFmtId="0" fontId="56" fillId="45" borderId="10" xfId="0" applyFont="1" applyFill="1" applyBorder="1" applyAlignment="1" applyProtection="1">
      <alignment horizontal="center" vertical="top" wrapText="1"/>
      <protection hidden="1"/>
    </xf>
    <xf numFmtId="0" fontId="55" fillId="30" borderId="10" xfId="0" applyFont="1" applyFill="1" applyBorder="1" applyAlignment="1" applyProtection="1">
      <alignment horizontal="center" vertical="center" wrapText="1"/>
      <protection hidden="1"/>
    </xf>
    <xf numFmtId="0" fontId="55" fillId="30" borderId="19" xfId="0" applyFont="1" applyFill="1" applyBorder="1" applyAlignment="1" applyProtection="1">
      <alignment horizontal="center" vertical="center" wrapText="1"/>
      <protection hidden="1"/>
    </xf>
    <xf numFmtId="0" fontId="55" fillId="30" borderId="21" xfId="0" applyFont="1" applyFill="1" applyBorder="1" applyAlignment="1" applyProtection="1">
      <alignment horizontal="center" vertical="center" wrapText="1"/>
      <protection hidden="1"/>
    </xf>
    <xf numFmtId="0" fontId="55" fillId="30" borderId="20" xfId="0" applyFont="1" applyFill="1" applyBorder="1" applyAlignment="1" applyProtection="1">
      <alignment horizontal="center" vertical="center" wrapText="1"/>
      <protection hidden="1"/>
    </xf>
    <xf numFmtId="0" fontId="55" fillId="30" borderId="30" xfId="0" applyFont="1" applyFill="1" applyBorder="1" applyAlignment="1" applyProtection="1">
      <alignment horizontal="center" vertical="center" wrapText="1"/>
      <protection hidden="1"/>
    </xf>
    <xf numFmtId="0" fontId="56" fillId="45" borderId="19" xfId="0" applyFont="1" applyFill="1" applyBorder="1" applyAlignment="1" applyProtection="1">
      <alignment horizontal="center" vertical="center" wrapText="1"/>
      <protection hidden="1"/>
    </xf>
    <xf numFmtId="0" fontId="56" fillId="45" borderId="26" xfId="0" applyFont="1" applyFill="1" applyBorder="1" applyAlignment="1" applyProtection="1">
      <alignment horizontal="center" vertical="center" wrapText="1"/>
      <protection hidden="1"/>
    </xf>
    <xf numFmtId="0" fontId="56" fillId="45" borderId="21" xfId="0" applyFont="1" applyFill="1" applyBorder="1" applyAlignment="1" applyProtection="1">
      <alignment horizontal="center" vertical="center" wrapText="1"/>
      <protection hidden="1"/>
    </xf>
    <xf numFmtId="0" fontId="56" fillId="45" borderId="28" xfId="0" applyFont="1" applyFill="1" applyBorder="1" applyAlignment="1" applyProtection="1">
      <alignment horizontal="center" vertical="center" wrapText="1"/>
      <protection hidden="1"/>
    </xf>
    <xf numFmtId="0" fontId="56" fillId="45" borderId="27" xfId="0" applyFont="1" applyFill="1" applyBorder="1" applyAlignment="1" applyProtection="1">
      <alignment horizontal="center" vertical="center" wrapText="1"/>
      <protection hidden="1"/>
    </xf>
    <xf numFmtId="0" fontId="56" fillId="45" borderId="29" xfId="0" applyFont="1" applyFill="1" applyBorder="1" applyAlignment="1" applyProtection="1">
      <alignment horizontal="center" vertical="center" wrapText="1"/>
      <protection hidden="1"/>
    </xf>
    <xf numFmtId="0" fontId="55" fillId="0" borderId="19" xfId="0" applyFont="1" applyBorder="1" applyAlignment="1" applyProtection="1">
      <alignment horizontal="center" vertical="center"/>
      <protection hidden="1"/>
    </xf>
    <xf numFmtId="0" fontId="55" fillId="0" borderId="21" xfId="0" applyFont="1" applyBorder="1" applyAlignment="1" applyProtection="1">
      <alignment horizontal="center" vertical="center"/>
      <protection hidden="1"/>
    </xf>
    <xf numFmtId="0" fontId="55" fillId="0" borderId="28" xfId="0" applyFont="1" applyBorder="1" applyAlignment="1" applyProtection="1">
      <alignment horizontal="center" vertical="center"/>
      <protection hidden="1"/>
    </xf>
    <xf numFmtId="0" fontId="55" fillId="0" borderId="29" xfId="0" applyFont="1" applyBorder="1" applyAlignment="1" applyProtection="1">
      <alignment horizontal="center" vertical="center"/>
      <protection hidden="1"/>
    </xf>
    <xf numFmtId="0" fontId="44" fillId="25" borderId="28" xfId="0" applyFont="1" applyFill="1" applyBorder="1" applyAlignment="1" applyProtection="1">
      <alignment horizontal="center" vertical="center"/>
      <protection locked="0"/>
    </xf>
    <xf numFmtId="0" fontId="44" fillId="25" borderId="27" xfId="0" applyFont="1" applyFill="1" applyBorder="1" applyAlignment="1" applyProtection="1">
      <alignment horizontal="center" vertical="center"/>
      <protection locked="0"/>
    </xf>
    <xf numFmtId="0" fontId="44" fillId="25" borderId="29" xfId="0" applyFont="1" applyFill="1" applyBorder="1" applyAlignment="1" applyProtection="1">
      <alignment horizontal="center" vertical="center"/>
      <protection locked="0"/>
    </xf>
    <xf numFmtId="0" fontId="64" fillId="0" borderId="10" xfId="0" applyFont="1" applyBorder="1" applyAlignment="1" applyProtection="1">
      <alignment horizontal="center" vertical="center" wrapText="1"/>
      <protection hidden="1"/>
    </xf>
    <xf numFmtId="0" fontId="0" fillId="41" borderId="93" xfId="0" applyFill="1" applyBorder="1" applyAlignment="1" applyProtection="1">
      <alignment horizontal="center"/>
      <protection locked="0"/>
    </xf>
    <xf numFmtId="0" fontId="0" fillId="41" borderId="11" xfId="0" applyFill="1" applyBorder="1" applyAlignment="1" applyProtection="1">
      <alignment horizontal="center"/>
      <protection locked="0"/>
    </xf>
    <xf numFmtId="0" fontId="0" fillId="43" borderId="98" xfId="0" applyFill="1" applyBorder="1" applyAlignment="1" applyProtection="1">
      <alignment horizontal="center" vertical="center"/>
      <protection hidden="1"/>
    </xf>
    <xf numFmtId="0" fontId="0" fillId="43" borderId="97" xfId="0" applyFill="1" applyBorder="1" applyAlignment="1" applyProtection="1">
      <alignment horizontal="center" vertical="center"/>
      <protection hidden="1"/>
    </xf>
    <xf numFmtId="0" fontId="6" fillId="40" borderId="95" xfId="0" applyFont="1" applyFill="1" applyBorder="1" applyAlignment="1" applyProtection="1">
      <alignment horizontal="center"/>
      <protection hidden="1"/>
    </xf>
    <xf numFmtId="0" fontId="6" fillId="40" borderId="96" xfId="0" applyFont="1" applyFill="1" applyBorder="1" applyAlignment="1" applyProtection="1">
      <alignment horizontal="center"/>
      <protection hidden="1"/>
    </xf>
    <xf numFmtId="0" fontId="34" fillId="27" borderId="51" xfId="0" applyFont="1" applyFill="1" applyBorder="1" applyAlignment="1" applyProtection="1">
      <alignment horizontal="center"/>
      <protection hidden="1"/>
    </xf>
    <xf numFmtId="0" fontId="34" fillId="27" borderId="52" xfId="0" applyFont="1" applyFill="1" applyBorder="1" applyAlignment="1" applyProtection="1">
      <alignment horizontal="center"/>
      <protection hidden="1"/>
    </xf>
    <xf numFmtId="0" fontId="34" fillId="27" borderId="53" xfId="0" applyFont="1" applyFill="1" applyBorder="1" applyAlignment="1" applyProtection="1">
      <alignment horizontal="center"/>
      <protection hidden="1"/>
    </xf>
    <xf numFmtId="49" fontId="6" fillId="41" borderId="93" xfId="0" applyNumberFormat="1" applyFont="1" applyFill="1" applyBorder="1" applyAlignment="1" applyProtection="1">
      <alignment horizontal="center" vertical="center"/>
      <protection locked="0"/>
    </xf>
    <xf numFmtId="49" fontId="6" fillId="41" borderId="11" xfId="0" applyNumberFormat="1" applyFont="1" applyFill="1" applyBorder="1" applyAlignment="1" applyProtection="1">
      <alignment horizontal="center" vertical="center"/>
      <protection locked="0"/>
    </xf>
    <xf numFmtId="0" fontId="6" fillId="34" borderId="91" xfId="0" applyFont="1" applyFill="1" applyBorder="1" applyAlignment="1" applyProtection="1">
      <alignment horizontal="center" vertical="center" wrapText="1"/>
      <protection hidden="1"/>
    </xf>
    <xf numFmtId="0" fontId="6" fillId="34" borderId="29" xfId="0" applyFont="1" applyFill="1" applyBorder="1" applyAlignment="1" applyProtection="1">
      <alignment horizontal="center" vertical="center" wrapText="1"/>
      <protection hidden="1"/>
    </xf>
    <xf numFmtId="0" fontId="0" fillId="41" borderId="100" xfId="0" applyFill="1" applyBorder="1" applyAlignment="1" applyProtection="1">
      <alignment horizontal="center"/>
      <protection locked="0"/>
    </xf>
    <xf numFmtId="0" fontId="0" fillId="41" borderId="78" xfId="0" applyFill="1" applyBorder="1" applyAlignment="1" applyProtection="1">
      <alignment horizontal="center"/>
      <protection locked="0"/>
    </xf>
    <xf numFmtId="0" fontId="44" fillId="42" borderId="85" xfId="60" applyFont="1" applyFill="1" applyBorder="1" applyAlignment="1" applyProtection="1">
      <alignment horizontal="center" vertical="center"/>
    </xf>
    <xf numFmtId="0" fontId="44" fillId="42" borderId="81" xfId="60" applyFont="1" applyFill="1" applyBorder="1" applyAlignment="1" applyProtection="1">
      <alignment horizontal="center" vertical="center"/>
    </xf>
    <xf numFmtId="0" fontId="44" fillId="42" borderId="86" xfId="60" applyFont="1" applyFill="1" applyBorder="1" applyAlignment="1" applyProtection="1">
      <alignment horizontal="center" vertical="center"/>
    </xf>
    <xf numFmtId="168" fontId="62" fillId="53" borderId="115" xfId="60" applyNumberFormat="1" applyFont="1" applyFill="1" applyBorder="1" applyAlignment="1" applyProtection="1">
      <alignment horizontal="center" vertical="center"/>
    </xf>
    <xf numFmtId="168" fontId="62" fillId="53" borderId="111" xfId="60" applyNumberFormat="1" applyFont="1" applyFill="1" applyBorder="1" applyAlignment="1" applyProtection="1">
      <alignment horizontal="center" vertical="center"/>
    </xf>
    <xf numFmtId="0" fontId="62" fillId="45" borderId="100" xfId="60" applyFont="1" applyFill="1" applyBorder="1" applyAlignment="1" applyProtection="1">
      <alignment horizontal="left" vertical="center"/>
    </xf>
    <xf numFmtId="0" fontId="62" fillId="45" borderId="76" xfId="60" applyFont="1" applyFill="1" applyBorder="1" applyAlignment="1" applyProtection="1">
      <alignment horizontal="left" vertical="center"/>
    </xf>
    <xf numFmtId="0" fontId="62" fillId="45" borderId="78" xfId="60" applyFont="1" applyFill="1" applyBorder="1" applyAlignment="1" applyProtection="1">
      <alignment horizontal="left" vertical="center"/>
    </xf>
    <xf numFmtId="0" fontId="44" fillId="42" borderId="101" xfId="60" applyFont="1" applyFill="1" applyBorder="1" applyAlignment="1" applyProtection="1">
      <alignment horizontal="center" vertical="center" wrapText="1"/>
    </xf>
    <xf numFmtId="0" fontId="44" fillId="42" borderId="45" xfId="60" applyFont="1" applyFill="1" applyBorder="1" applyAlignment="1" applyProtection="1">
      <alignment horizontal="center" vertical="center" wrapText="1"/>
    </xf>
    <xf numFmtId="0" fontId="44" fillId="42" borderId="110" xfId="60" applyFont="1" applyFill="1" applyBorder="1" applyAlignment="1" applyProtection="1">
      <alignment horizontal="center" vertical="center" wrapText="1"/>
    </xf>
    <xf numFmtId="0" fontId="62" fillId="45" borderId="112" xfId="60" applyFont="1" applyFill="1" applyBorder="1" applyAlignment="1" applyProtection="1">
      <alignment horizontal="left" vertical="center"/>
    </xf>
    <xf numFmtId="0" fontId="62" fillId="45" borderId="26" xfId="60" applyFont="1" applyFill="1" applyBorder="1" applyAlignment="1" applyProtection="1">
      <alignment horizontal="left" vertical="center"/>
    </xf>
    <xf numFmtId="0" fontId="62" fillId="45" borderId="21" xfId="60" applyFont="1" applyFill="1" applyBorder="1" applyAlignment="1" applyProtection="1">
      <alignment horizontal="left" vertical="center"/>
    </xf>
    <xf numFmtId="0" fontId="56" fillId="45" borderId="28" xfId="60" applyFont="1" applyFill="1" applyBorder="1" applyAlignment="1" applyProtection="1">
      <alignment horizontal="center" vertical="center" wrapText="1"/>
    </xf>
    <xf numFmtId="0" fontId="56" fillId="45" borderId="114" xfId="60" applyFont="1" applyFill="1" applyBorder="1" applyAlignment="1" applyProtection="1">
      <alignment horizontal="center" vertical="center" wrapText="1"/>
    </xf>
    <xf numFmtId="168" fontId="44" fillId="53" borderId="19" xfId="60" applyNumberFormat="1" applyFont="1" applyFill="1" applyBorder="1" applyAlignment="1" applyProtection="1">
      <alignment horizontal="center" vertical="center"/>
    </xf>
    <xf numFmtId="168" fontId="44" fillId="53" borderId="113" xfId="60" applyNumberFormat="1" applyFont="1" applyFill="1" applyBorder="1" applyAlignment="1" applyProtection="1">
      <alignment horizontal="center" vertical="center"/>
    </xf>
    <xf numFmtId="2" fontId="62" fillId="53" borderId="19" xfId="60" applyNumberFormat="1" applyFont="1" applyFill="1" applyBorder="1" applyAlignment="1" applyProtection="1">
      <alignment horizontal="center"/>
    </xf>
    <xf numFmtId="2" fontId="62" fillId="53" borderId="26" xfId="60" applyNumberFormat="1" applyFont="1" applyFill="1" applyBorder="1" applyAlignment="1" applyProtection="1">
      <alignment horizontal="center"/>
    </xf>
    <xf numFmtId="2" fontId="62" fillId="53" borderId="113" xfId="60" applyNumberFormat="1" applyFont="1" applyFill="1" applyBorder="1" applyAlignment="1" applyProtection="1">
      <alignment horizontal="center"/>
    </xf>
    <xf numFmtId="0" fontId="55" fillId="41" borderId="93" xfId="60" applyFont="1" applyFill="1" applyBorder="1" applyAlignment="1" applyProtection="1">
      <alignment horizontal="left" vertical="center" wrapText="1"/>
      <protection locked="0"/>
    </xf>
    <xf numFmtId="0" fontId="55" fillId="41" borderId="15" xfId="60" applyFont="1" applyFill="1" applyBorder="1" applyAlignment="1" applyProtection="1">
      <alignment horizontal="left" vertical="center" wrapText="1"/>
      <protection locked="0"/>
    </xf>
    <xf numFmtId="0" fontId="55" fillId="41" borderId="11" xfId="60" applyFont="1" applyFill="1" applyBorder="1" applyAlignment="1" applyProtection="1">
      <alignment horizontal="left" vertical="center" wrapText="1"/>
      <protection locked="0"/>
    </xf>
    <xf numFmtId="0" fontId="56" fillId="41" borderId="93" xfId="60" applyFont="1" applyFill="1" applyBorder="1" applyAlignment="1" applyProtection="1">
      <alignment horizontal="left" wrapText="1"/>
      <protection locked="0"/>
    </xf>
    <xf numFmtId="0" fontId="56" fillId="41" borderId="15" xfId="60" applyFont="1" applyFill="1" applyBorder="1" applyAlignment="1" applyProtection="1">
      <alignment horizontal="left" wrapText="1"/>
      <protection locked="0"/>
    </xf>
    <xf numFmtId="0" fontId="56" fillId="41" borderId="11" xfId="60" applyFont="1" applyFill="1" applyBorder="1" applyAlignment="1" applyProtection="1">
      <alignment horizontal="left" wrapText="1"/>
      <protection locked="0"/>
    </xf>
    <xf numFmtId="2" fontId="61" fillId="41" borderId="15" xfId="60" applyNumberFormat="1" applyFont="1" applyFill="1" applyBorder="1" applyAlignment="1" applyProtection="1">
      <alignment horizontal="center" vertical="center"/>
      <protection locked="0"/>
    </xf>
    <xf numFmtId="2" fontId="61" fillId="41" borderId="11" xfId="60" applyNumberFormat="1" applyFont="1" applyFill="1" applyBorder="1" applyAlignment="1" applyProtection="1">
      <alignment horizontal="center" vertical="center"/>
      <protection locked="0"/>
    </xf>
    <xf numFmtId="0" fontId="56" fillId="34" borderId="12" xfId="60" applyFont="1" applyFill="1" applyBorder="1" applyAlignment="1" applyProtection="1">
      <alignment horizontal="center" vertical="center" wrapText="1"/>
    </xf>
    <xf numFmtId="0" fontId="56" fillId="34" borderId="11" xfId="60" applyFont="1" applyFill="1" applyBorder="1" applyAlignment="1" applyProtection="1">
      <alignment horizontal="center" vertical="center" wrapText="1"/>
    </xf>
    <xf numFmtId="0" fontId="44" fillId="34" borderId="91" xfId="60" applyFont="1" applyFill="1" applyBorder="1" applyAlignment="1" applyProtection="1">
      <alignment horizontal="center" vertical="center" wrapText="1"/>
    </xf>
    <xf numFmtId="0" fontId="44" fillId="34" borderId="27" xfId="60" applyFont="1" applyFill="1" applyBorder="1" applyAlignment="1" applyProtection="1">
      <alignment horizontal="center" vertical="center" wrapText="1"/>
    </xf>
    <xf numFmtId="0" fontId="44" fillId="34" borderId="29" xfId="60" applyFont="1" applyFill="1" applyBorder="1" applyAlignment="1" applyProtection="1">
      <alignment horizontal="center" vertical="center" wrapText="1"/>
    </xf>
    <xf numFmtId="2" fontId="61" fillId="41" borderId="15" xfId="60" applyNumberFormat="1" applyFont="1" applyFill="1" applyBorder="1" applyAlignment="1" applyProtection="1">
      <alignment horizontal="center" vertical="center" wrapText="1"/>
      <protection locked="0"/>
    </xf>
    <xf numFmtId="2" fontId="61" fillId="41" borderId="11" xfId="60" applyNumberFormat="1" applyFont="1" applyFill="1" applyBorder="1" applyAlignment="1" applyProtection="1">
      <alignment horizontal="center" vertical="center" wrapText="1"/>
      <protection locked="0"/>
    </xf>
    <xf numFmtId="164" fontId="61" fillId="41" borderId="108" xfId="60" applyNumberFormat="1" applyFont="1" applyFill="1" applyBorder="1" applyAlignment="1" applyProtection="1">
      <alignment horizontal="left" vertical="center"/>
      <protection locked="0"/>
    </xf>
    <xf numFmtId="164" fontId="61" fillId="41" borderId="52" xfId="60" applyNumberFormat="1" applyFont="1" applyFill="1" applyBorder="1" applyAlignment="1" applyProtection="1">
      <alignment horizontal="left" vertical="center"/>
      <protection locked="0"/>
    </xf>
    <xf numFmtId="164" fontId="61" fillId="41" borderId="53" xfId="60" applyNumberFormat="1" applyFont="1" applyFill="1" applyBorder="1" applyAlignment="1" applyProtection="1">
      <alignment horizontal="left" vertical="center"/>
      <protection locked="0"/>
    </xf>
    <xf numFmtId="0" fontId="44" fillId="45" borderId="51" xfId="60" applyFont="1" applyFill="1" applyBorder="1" applyAlignment="1" applyProtection="1">
      <alignment horizontal="left" vertical="center"/>
    </xf>
    <xf numFmtId="0" fontId="2" fillId="0" borderId="52" xfId="60" applyBorder="1" applyAlignment="1" applyProtection="1">
      <alignment vertical="center"/>
    </xf>
    <xf numFmtId="0" fontId="2" fillId="0" borderId="109" xfId="60" applyBorder="1" applyAlignment="1" applyProtection="1">
      <alignment vertical="center"/>
    </xf>
    <xf numFmtId="0" fontId="61" fillId="41" borderId="108" xfId="60" applyFont="1" applyFill="1" applyBorder="1" applyAlignment="1" applyProtection="1">
      <alignment horizontal="center" vertical="center" wrapText="1"/>
      <protection locked="0"/>
    </xf>
    <xf numFmtId="0" fontId="2" fillId="41" borderId="52" xfId="60" applyFill="1" applyBorder="1" applyAlignment="1" applyProtection="1">
      <alignment horizontal="center" wrapText="1"/>
      <protection locked="0"/>
    </xf>
    <xf numFmtId="0" fontId="2" fillId="41" borderId="53" xfId="60" applyFill="1" applyBorder="1" applyAlignment="1" applyProtection="1">
      <alignment horizontal="center" wrapText="1"/>
      <protection locked="0"/>
    </xf>
    <xf numFmtId="0" fontId="44" fillId="45" borderId="102" xfId="60" applyFont="1" applyFill="1" applyBorder="1" applyAlignment="1" applyProtection="1">
      <alignment horizontal="left" vertical="center" wrapText="1"/>
    </xf>
    <xf numFmtId="0" fontId="61" fillId="0" borderId="103" xfId="60" applyFont="1" applyBorder="1" applyAlignment="1" applyProtection="1">
      <alignment vertical="center"/>
    </xf>
    <xf numFmtId="0" fontId="61" fillId="41" borderId="103" xfId="60" applyFont="1" applyFill="1" applyBorder="1" applyAlignment="1" applyProtection="1">
      <alignment horizontal="center" vertical="center" wrapText="1"/>
      <protection locked="0"/>
    </xf>
    <xf numFmtId="0" fontId="61" fillId="41" borderId="103" xfId="60" applyFont="1" applyFill="1" applyBorder="1" applyProtection="1">
      <protection locked="0"/>
    </xf>
    <xf numFmtId="0" fontId="61" fillId="41" borderId="104" xfId="60" applyFont="1" applyFill="1" applyBorder="1" applyProtection="1">
      <protection locked="0"/>
    </xf>
    <xf numFmtId="0" fontId="61" fillId="0" borderId="52" xfId="60" applyFont="1" applyBorder="1" applyAlignment="1" applyProtection="1">
      <alignment horizontal="left" vertical="center"/>
    </xf>
    <xf numFmtId="0" fontId="2" fillId="0" borderId="52" xfId="60" applyBorder="1" applyProtection="1"/>
    <xf numFmtId="0" fontId="2" fillId="0" borderId="109" xfId="60" applyBorder="1" applyProtection="1"/>
    <xf numFmtId="0" fontId="61" fillId="41" borderId="109" xfId="60" applyFont="1" applyFill="1" applyBorder="1" applyAlignment="1" applyProtection="1">
      <alignment horizontal="center" vertical="center" wrapText="1"/>
      <protection locked="0"/>
    </xf>
    <xf numFmtId="0" fontId="61" fillId="41" borderId="103" xfId="60" applyFont="1" applyFill="1" applyBorder="1" applyAlignment="1" applyProtection="1">
      <alignment horizontal="center" vertical="center"/>
      <protection locked="0"/>
    </xf>
    <xf numFmtId="0" fontId="61" fillId="41" borderId="104" xfId="60" applyFont="1" applyFill="1" applyBorder="1" applyAlignment="1" applyProtection="1">
      <alignment horizontal="center" vertical="center"/>
      <protection locked="0"/>
    </xf>
    <xf numFmtId="0" fontId="44" fillId="45" borderId="85" xfId="60" applyFont="1" applyFill="1" applyBorder="1" applyAlignment="1" applyProtection="1">
      <alignment horizontal="left" vertical="center"/>
    </xf>
    <xf numFmtId="0" fontId="2" fillId="0" borderId="81" xfId="60" applyBorder="1" applyAlignment="1" applyProtection="1">
      <alignment horizontal="left" vertical="center"/>
    </xf>
    <xf numFmtId="0" fontId="2" fillId="0" borderId="105" xfId="60" applyBorder="1" applyAlignment="1" applyProtection="1">
      <alignment horizontal="left" vertical="center"/>
    </xf>
    <xf numFmtId="0" fontId="61" fillId="41" borderId="106" xfId="60" applyFont="1" applyFill="1" applyBorder="1" applyAlignment="1" applyProtection="1">
      <alignment horizontal="center" vertical="center" wrapText="1"/>
      <protection locked="0"/>
    </xf>
    <xf numFmtId="0" fontId="2" fillId="41" borderId="106" xfId="60" applyFill="1" applyBorder="1" applyAlignment="1" applyProtection="1">
      <alignment wrapText="1"/>
      <protection locked="0"/>
    </xf>
    <xf numFmtId="0" fontId="2" fillId="41" borderId="107" xfId="60" applyFill="1" applyBorder="1" applyAlignment="1" applyProtection="1">
      <alignment wrapText="1"/>
      <protection locked="0"/>
    </xf>
    <xf numFmtId="0" fontId="62" fillId="42" borderId="12" xfId="60" applyFont="1" applyFill="1" applyBorder="1" applyAlignment="1" applyProtection="1">
      <alignment horizontal="center" vertical="center" wrapText="1"/>
    </xf>
    <xf numFmtId="0" fontId="2" fillId="42" borderId="15" xfId="60" applyFill="1" applyBorder="1" applyAlignment="1" applyProtection="1">
      <alignment horizontal="center" vertical="center" wrapText="1"/>
    </xf>
    <xf numFmtId="0" fontId="2" fillId="42" borderId="11" xfId="60" applyFill="1" applyBorder="1" applyAlignment="1" applyProtection="1">
      <alignment horizontal="center" vertical="center" wrapText="1"/>
    </xf>
    <xf numFmtId="0" fontId="62" fillId="45" borderId="12" xfId="60" applyFont="1" applyFill="1" applyBorder="1" applyAlignment="1">
      <alignment horizontal="right" vertical="center"/>
    </xf>
    <xf numFmtId="0" fontId="2" fillId="0" borderId="15" xfId="60" applyBorder="1" applyAlignment="1">
      <alignment horizontal="right" vertical="center"/>
    </xf>
    <xf numFmtId="0" fontId="2" fillId="0" borderId="11" xfId="60" applyBorder="1" applyAlignment="1">
      <alignment horizontal="right" vertical="center"/>
    </xf>
    <xf numFmtId="0" fontId="73" fillId="45" borderId="102" xfId="60" applyFont="1" applyFill="1" applyBorder="1" applyAlignment="1">
      <alignment horizontal="center" vertical="center"/>
    </xf>
    <xf numFmtId="0" fontId="2" fillId="0" borderId="103" xfId="60" applyBorder="1" applyAlignment="1">
      <alignment horizontal="center" vertical="center"/>
    </xf>
    <xf numFmtId="0" fontId="62" fillId="45" borderId="15" xfId="60" applyFont="1" applyFill="1" applyBorder="1" applyAlignment="1">
      <alignment horizontal="right" vertical="center"/>
    </xf>
    <xf numFmtId="0" fontId="62" fillId="45" borderId="11" xfId="60" applyFont="1" applyFill="1" applyBorder="1" applyAlignment="1">
      <alignment horizontal="right" vertical="center"/>
    </xf>
    <xf numFmtId="0" fontId="44" fillId="42" borderId="19" xfId="60" applyFont="1" applyFill="1" applyBorder="1" applyAlignment="1" applyProtection="1">
      <alignment horizontal="center" vertical="center" wrapText="1"/>
    </xf>
    <xf numFmtId="0" fontId="44" fillId="42" borderId="26" xfId="60" applyFont="1" applyFill="1" applyBorder="1" applyAlignment="1" applyProtection="1">
      <alignment horizontal="center" vertical="center" wrapText="1"/>
    </xf>
    <xf numFmtId="0" fontId="44" fillId="42" borderId="21" xfId="60" applyFont="1" applyFill="1" applyBorder="1" applyAlignment="1" applyProtection="1">
      <alignment horizontal="center" vertical="center" wrapText="1"/>
    </xf>
    <xf numFmtId="0" fontId="44" fillId="42" borderId="28" xfId="60" applyFont="1" applyFill="1" applyBorder="1" applyAlignment="1" applyProtection="1">
      <alignment horizontal="center" vertical="center" wrapText="1"/>
    </xf>
    <xf numFmtId="0" fontId="44" fillId="42" borderId="27" xfId="60" applyFont="1" applyFill="1" applyBorder="1" applyAlignment="1" applyProtection="1">
      <alignment horizontal="center" vertical="center" wrapText="1"/>
    </xf>
    <xf numFmtId="0" fontId="44" fillId="42" borderId="29" xfId="60" applyFont="1" applyFill="1" applyBorder="1" applyAlignment="1" applyProtection="1">
      <alignment horizontal="center" vertical="center" wrapText="1"/>
    </xf>
    <xf numFmtId="0" fontId="56" fillId="34" borderId="28" xfId="60" applyFont="1" applyFill="1" applyBorder="1" applyAlignment="1" applyProtection="1">
      <alignment horizontal="center" vertical="center" wrapText="1"/>
    </xf>
    <xf numFmtId="0" fontId="57" fillId="34" borderId="27" xfId="60" applyFont="1" applyFill="1" applyBorder="1" applyAlignment="1" applyProtection="1">
      <alignment horizontal="center" vertical="center" wrapText="1"/>
    </xf>
    <xf numFmtId="0" fontId="57" fillId="34" borderId="29" xfId="60" applyFont="1" applyFill="1" applyBorder="1" applyAlignment="1" applyProtection="1">
      <alignment horizontal="center" vertical="center" wrapText="1"/>
    </xf>
    <xf numFmtId="9" fontId="55" fillId="38" borderId="20" xfId="58" applyFont="1" applyFill="1" applyBorder="1" applyAlignment="1" applyProtection="1">
      <alignment horizontal="center" vertical="center"/>
      <protection hidden="1"/>
    </xf>
    <xf numFmtId="9" fontId="55" fillId="38" borderId="30" xfId="58" applyFont="1" applyFill="1" applyBorder="1" applyAlignment="1" applyProtection="1">
      <alignment horizontal="center" vertical="center"/>
      <protection hidden="1"/>
    </xf>
    <xf numFmtId="9" fontId="55" fillId="38" borderId="28" xfId="58" applyFont="1" applyFill="1" applyBorder="1" applyAlignment="1" applyProtection="1">
      <alignment horizontal="center" vertical="center"/>
      <protection hidden="1"/>
    </xf>
    <xf numFmtId="9" fontId="55" fillId="38" borderId="29" xfId="58" applyFont="1" applyFill="1" applyBorder="1" applyAlignment="1" applyProtection="1">
      <alignment horizontal="center" vertical="center"/>
      <protection hidden="1"/>
    </xf>
    <xf numFmtId="0" fontId="56" fillId="41" borderId="19" xfId="0" applyFont="1" applyFill="1" applyBorder="1" applyAlignment="1" applyProtection="1">
      <alignment horizontal="center" vertical="center"/>
      <protection locked="0"/>
    </xf>
    <xf numFmtId="0" fontId="56" fillId="41" borderId="21" xfId="0" applyFont="1" applyFill="1" applyBorder="1" applyAlignment="1" applyProtection="1">
      <alignment horizontal="center" vertical="center"/>
      <protection locked="0"/>
    </xf>
    <xf numFmtId="0" fontId="56" fillId="41" borderId="28" xfId="0" applyFont="1" applyFill="1" applyBorder="1" applyAlignment="1" applyProtection="1">
      <alignment horizontal="center" vertical="center"/>
      <protection locked="0"/>
    </xf>
    <xf numFmtId="0" fontId="56" fillId="41" borderId="29" xfId="0" applyFont="1" applyFill="1" applyBorder="1" applyAlignment="1" applyProtection="1">
      <alignment horizontal="center" vertical="center"/>
      <protection locked="0"/>
    </xf>
    <xf numFmtId="0" fontId="75" fillId="38" borderId="12" xfId="60" applyFont="1" applyFill="1" applyBorder="1" applyAlignment="1" applyProtection="1">
      <alignment horizontal="center" vertical="top" wrapText="1"/>
    </xf>
    <xf numFmtId="0" fontId="75" fillId="38" borderId="15" xfId="60" applyFont="1" applyFill="1" applyBorder="1" applyAlignment="1" applyProtection="1">
      <alignment horizontal="center" vertical="top" wrapText="1"/>
    </xf>
    <xf numFmtId="0" fontId="75" fillId="38" borderId="11" xfId="60" applyFont="1" applyFill="1" applyBorder="1" applyAlignment="1" applyProtection="1">
      <alignment horizontal="center" vertical="top" wrapText="1"/>
    </xf>
    <xf numFmtId="0" fontId="57" fillId="45" borderId="27" xfId="60" applyFont="1" applyFill="1" applyBorder="1" applyAlignment="1" applyProtection="1">
      <alignment horizontal="center" vertical="top" wrapText="1"/>
    </xf>
    <xf numFmtId="0" fontId="57" fillId="45" borderId="29" xfId="60" applyFont="1" applyFill="1" applyBorder="1" applyAlignment="1" applyProtection="1">
      <alignment horizontal="center" vertical="top" wrapText="1"/>
    </xf>
    <xf numFmtId="0" fontId="58" fillId="39" borderId="28" xfId="0" applyFont="1" applyFill="1" applyBorder="1" applyAlignment="1" applyProtection="1">
      <alignment horizontal="center" vertical="center" wrapText="1"/>
      <protection hidden="1"/>
    </xf>
    <xf numFmtId="0" fontId="58" fillId="39" borderId="29" xfId="0" applyFont="1" applyFill="1" applyBorder="1" applyAlignment="1" applyProtection="1">
      <alignment horizontal="center" vertical="center" wrapText="1"/>
      <protection hidden="1"/>
    </xf>
    <xf numFmtId="0" fontId="59" fillId="39" borderId="19" xfId="60" applyFont="1" applyFill="1" applyBorder="1" applyAlignment="1" applyProtection="1">
      <alignment horizontal="center" vertical="center" wrapText="1"/>
    </xf>
    <xf numFmtId="0" fontId="59" fillId="39" borderId="21" xfId="60" applyFont="1" applyFill="1" applyBorder="1" applyAlignment="1" applyProtection="1">
      <alignment horizontal="center" vertical="center" wrapText="1"/>
    </xf>
    <xf numFmtId="0" fontId="59" fillId="39" borderId="28" xfId="60" applyFont="1" applyFill="1" applyBorder="1" applyAlignment="1" applyProtection="1">
      <alignment horizontal="center" vertical="center" wrapText="1"/>
    </xf>
    <xf numFmtId="0" fontId="59" fillId="39" borderId="29" xfId="60" applyFont="1" applyFill="1" applyBorder="1" applyAlignment="1" applyProtection="1">
      <alignment horizontal="center" vertical="center" wrapText="1"/>
    </xf>
    <xf numFmtId="0" fontId="57" fillId="45" borderId="19" xfId="60" applyFont="1" applyFill="1" applyBorder="1" applyAlignment="1" applyProtection="1">
      <alignment horizontal="center" vertical="center" wrapText="1"/>
    </xf>
    <xf numFmtId="0" fontId="57" fillId="45" borderId="21" xfId="60" applyFont="1" applyFill="1" applyBorder="1" applyAlignment="1" applyProtection="1">
      <alignment horizontal="center" vertical="center" wrapText="1"/>
    </xf>
    <xf numFmtId="0" fontId="57" fillId="45" borderId="28" xfId="60" applyFont="1" applyFill="1" applyBorder="1" applyAlignment="1" applyProtection="1">
      <alignment horizontal="center" vertical="center" wrapText="1"/>
    </xf>
    <xf numFmtId="0" fontId="57" fillId="45" borderId="29" xfId="60" applyFont="1" applyFill="1" applyBorder="1" applyAlignment="1" applyProtection="1">
      <alignment horizontal="center" vertical="center" wrapText="1"/>
    </xf>
    <xf numFmtId="0" fontId="55" fillId="38" borderId="20" xfId="60" applyFont="1" applyFill="1" applyBorder="1" applyAlignment="1" applyProtection="1">
      <alignment horizontal="center" vertical="center"/>
    </xf>
    <xf numFmtId="0" fontId="55" fillId="38" borderId="30" xfId="60" applyFont="1" applyFill="1" applyBorder="1" applyAlignment="1" applyProtection="1">
      <alignment horizontal="center" vertical="center"/>
    </xf>
    <xf numFmtId="0" fontId="55" fillId="38" borderId="28" xfId="60" applyFont="1" applyFill="1" applyBorder="1" applyAlignment="1" applyProtection="1">
      <alignment horizontal="center" vertical="center"/>
    </xf>
    <xf numFmtId="0" fontId="55" fillId="38" borderId="29" xfId="60" applyFont="1" applyFill="1" applyBorder="1" applyAlignment="1" applyProtection="1">
      <alignment horizontal="center" vertical="center"/>
    </xf>
    <xf numFmtId="0" fontId="56" fillId="41" borderId="20" xfId="60" applyFont="1" applyFill="1" applyBorder="1" applyAlignment="1" applyProtection="1">
      <alignment horizontal="center" vertical="center"/>
      <protection locked="0"/>
    </xf>
    <xf numFmtId="0" fontId="56" fillId="41" borderId="30" xfId="60" applyFont="1" applyFill="1" applyBorder="1" applyAlignment="1" applyProtection="1">
      <alignment horizontal="center" vertical="center"/>
      <protection locked="0"/>
    </xf>
    <xf numFmtId="0" fontId="56" fillId="41" borderId="28" xfId="60" applyFont="1" applyFill="1" applyBorder="1" applyAlignment="1" applyProtection="1">
      <alignment horizontal="center" vertical="center"/>
      <protection locked="0"/>
    </xf>
    <xf numFmtId="0" fontId="56" fillId="41" borderId="29" xfId="60" applyFont="1" applyFill="1" applyBorder="1" applyAlignment="1" applyProtection="1">
      <alignment horizontal="center" vertical="center"/>
      <protection locked="0"/>
    </xf>
    <xf numFmtId="168" fontId="44" fillId="53" borderId="12" xfId="60" applyNumberFormat="1" applyFont="1" applyFill="1" applyBorder="1" applyAlignment="1" applyProtection="1">
      <alignment horizontal="center" vertical="center"/>
    </xf>
    <xf numFmtId="168" fontId="44" fillId="53" borderId="11" xfId="60" applyNumberFormat="1" applyFont="1" applyFill="1" applyBorder="1" applyAlignment="1" applyProtection="1">
      <alignment horizontal="center" vertical="center"/>
    </xf>
    <xf numFmtId="0" fontId="36" fillId="38" borderId="20" xfId="60" applyFont="1" applyFill="1" applyBorder="1" applyAlignment="1" applyProtection="1">
      <alignment horizontal="center" wrapText="1"/>
    </xf>
    <xf numFmtId="0" fontId="36" fillId="38" borderId="0" xfId="60" applyFont="1" applyFill="1" applyAlignment="1" applyProtection="1">
      <alignment horizontal="center" wrapText="1"/>
    </xf>
    <xf numFmtId="0" fontId="56" fillId="34" borderId="10" xfId="60" applyFont="1" applyFill="1" applyBorder="1" applyAlignment="1" applyProtection="1">
      <alignment horizontal="center" vertical="center" wrapText="1"/>
    </xf>
    <xf numFmtId="0" fontId="2" fillId="0" borderId="10" xfId="60" applyBorder="1" applyAlignment="1" applyProtection="1">
      <alignment horizontal="center" vertical="center" wrapText="1"/>
    </xf>
    <xf numFmtId="0" fontId="75" fillId="38" borderId="20" xfId="60" applyFont="1" applyFill="1" applyBorder="1" applyAlignment="1" applyProtection="1">
      <alignment horizontal="center" vertical="top" wrapText="1"/>
    </xf>
    <xf numFmtId="0" fontId="2" fillId="38" borderId="0" xfId="60" applyFill="1" applyAlignment="1" applyProtection="1">
      <alignment horizontal="center" vertical="top" wrapText="1"/>
    </xf>
    <xf numFmtId="0" fontId="2" fillId="38" borderId="30" xfId="60" applyFill="1" applyBorder="1" applyAlignment="1" applyProtection="1">
      <alignment horizontal="center" vertical="top" wrapText="1"/>
    </xf>
    <xf numFmtId="0" fontId="2" fillId="38" borderId="20" xfId="60" applyFill="1" applyBorder="1" applyAlignment="1" applyProtection="1">
      <alignment horizontal="center" vertical="top" wrapText="1"/>
    </xf>
    <xf numFmtId="0" fontId="2" fillId="38" borderId="28" xfId="60" applyFill="1" applyBorder="1" applyAlignment="1" applyProtection="1">
      <alignment horizontal="center" vertical="top" wrapText="1"/>
    </xf>
    <xf numFmtId="0" fontId="2" fillId="38" borderId="27" xfId="60" applyFill="1" applyBorder="1" applyAlignment="1" applyProtection="1">
      <alignment horizontal="center" vertical="top" wrapText="1"/>
    </xf>
    <xf numFmtId="0" fontId="2" fillId="38" borderId="29" xfId="60" applyFill="1" applyBorder="1" applyAlignment="1" applyProtection="1">
      <alignment horizontal="center" vertical="top" wrapText="1"/>
    </xf>
    <xf numFmtId="0" fontId="57" fillId="45" borderId="19" xfId="60" applyFont="1" applyFill="1" applyBorder="1" applyAlignment="1" applyProtection="1">
      <alignment horizontal="center" vertical="top" wrapText="1"/>
    </xf>
    <xf numFmtId="0" fontId="57" fillId="45" borderId="21" xfId="60" applyFont="1" applyFill="1" applyBorder="1" applyAlignment="1" applyProtection="1">
      <alignment horizontal="center" vertical="top" wrapText="1"/>
    </xf>
    <xf numFmtId="0" fontId="57" fillId="45" borderId="28" xfId="60" applyFont="1" applyFill="1" applyBorder="1" applyAlignment="1" applyProtection="1">
      <alignment horizontal="center" vertical="top" wrapText="1"/>
    </xf>
    <xf numFmtId="9" fontId="55" fillId="38" borderId="19" xfId="58" applyFont="1" applyFill="1" applyBorder="1" applyAlignment="1" applyProtection="1">
      <alignment horizontal="center" vertical="center"/>
      <protection hidden="1"/>
    </xf>
    <xf numFmtId="9" fontId="55" fillId="38" borderId="21" xfId="58" applyFont="1" applyFill="1" applyBorder="1" applyAlignment="1" applyProtection="1">
      <alignment horizontal="center" vertical="center"/>
      <protection hidden="1"/>
    </xf>
    <xf numFmtId="0" fontId="56" fillId="25" borderId="19" xfId="0" applyFont="1" applyFill="1" applyBorder="1" applyAlignment="1" applyProtection="1">
      <alignment horizontal="center" vertical="center"/>
      <protection locked="0"/>
    </xf>
    <xf numFmtId="0" fontId="56" fillId="25" borderId="21" xfId="0" applyFont="1" applyFill="1" applyBorder="1" applyAlignment="1" applyProtection="1">
      <alignment horizontal="center" vertical="center"/>
      <protection locked="0"/>
    </xf>
    <xf numFmtId="0" fontId="56" fillId="25" borderId="28" xfId="0" applyFont="1" applyFill="1" applyBorder="1" applyAlignment="1" applyProtection="1">
      <alignment horizontal="center" vertical="center"/>
      <protection locked="0"/>
    </xf>
    <xf numFmtId="0" fontId="56" fillId="25" borderId="29" xfId="0" applyFont="1" applyFill="1" applyBorder="1" applyAlignment="1" applyProtection="1">
      <alignment horizontal="center" vertical="center"/>
      <protection locked="0"/>
    </xf>
    <xf numFmtId="168" fontId="2" fillId="0" borderId="15" xfId="60" applyNumberFormat="1" applyBorder="1" applyAlignment="1" applyProtection="1">
      <alignment horizontal="center" vertical="center"/>
    </xf>
    <xf numFmtId="168" fontId="2" fillId="0" borderId="11" xfId="60" applyNumberFormat="1" applyBorder="1" applyAlignment="1" applyProtection="1">
      <alignment horizontal="center" vertical="center"/>
    </xf>
    <xf numFmtId="0" fontId="56" fillId="45" borderId="10" xfId="60" applyFont="1" applyFill="1" applyBorder="1" applyAlignment="1" applyProtection="1">
      <alignment horizontal="center" vertical="center" wrapText="1"/>
    </xf>
    <xf numFmtId="0" fontId="6" fillId="45" borderId="10" xfId="60" applyFont="1" applyFill="1" applyBorder="1" applyAlignment="1" applyProtection="1">
      <alignment horizontal="center" vertical="center" wrapText="1"/>
    </xf>
    <xf numFmtId="0" fontId="56" fillId="53" borderId="10" xfId="60" applyFont="1" applyFill="1" applyBorder="1" applyAlignment="1" applyProtection="1">
      <alignment horizontal="center"/>
    </xf>
    <xf numFmtId="0" fontId="2" fillId="53" borderId="10" xfId="60" applyFill="1" applyBorder="1" applyAlignment="1" applyProtection="1">
      <alignment horizontal="center"/>
    </xf>
    <xf numFmtId="0" fontId="44" fillId="42" borderId="12" xfId="60" applyFont="1" applyFill="1" applyBorder="1" applyAlignment="1" applyProtection="1">
      <alignment horizontal="center" vertical="center"/>
    </xf>
    <xf numFmtId="0" fontId="15" fillId="42" borderId="15" xfId="60" applyFont="1" applyFill="1" applyBorder="1" applyAlignment="1" applyProtection="1">
      <alignment horizontal="center" vertical="center"/>
    </xf>
    <xf numFmtId="0" fontId="15" fillId="42" borderId="11" xfId="60" applyFont="1" applyFill="1" applyBorder="1" applyAlignment="1" applyProtection="1">
      <alignment horizontal="center" vertical="center"/>
    </xf>
    <xf numFmtId="0" fontId="44" fillId="45" borderId="12" xfId="60" applyFont="1" applyFill="1" applyBorder="1" applyAlignment="1" applyProtection="1">
      <alignment horizontal="center" vertical="center" wrapText="1"/>
    </xf>
    <xf numFmtId="0" fontId="2" fillId="0" borderId="15" xfId="60" applyBorder="1" applyAlignment="1" applyProtection="1">
      <alignment horizontal="center" vertical="center" wrapText="1"/>
    </xf>
    <xf numFmtId="0" fontId="2" fillId="0" borderId="11" xfId="60" applyBorder="1" applyAlignment="1" applyProtection="1">
      <alignment horizontal="center" vertical="center" wrapText="1"/>
    </xf>
    <xf numFmtId="0" fontId="44" fillId="45" borderId="11" xfId="60" applyFont="1" applyFill="1" applyBorder="1" applyAlignment="1" applyProtection="1">
      <alignment horizontal="center" vertical="center" wrapText="1"/>
    </xf>
    <xf numFmtId="0" fontId="59" fillId="45" borderId="10" xfId="60" applyFont="1" applyFill="1" applyBorder="1" applyAlignment="1" applyProtection="1">
      <alignment horizontal="center"/>
    </xf>
    <xf numFmtId="0" fontId="59" fillId="53" borderId="12" xfId="60" applyFont="1" applyFill="1" applyBorder="1" applyAlignment="1" applyProtection="1">
      <alignment horizontal="center"/>
    </xf>
    <xf numFmtId="0" fontId="59" fillId="53" borderId="11" xfId="60" applyFont="1" applyFill="1" applyBorder="1" applyAlignment="1" applyProtection="1">
      <alignment horizontal="center"/>
    </xf>
    <xf numFmtId="0" fontId="59" fillId="45" borderId="12" xfId="60" applyFont="1" applyFill="1" applyBorder="1" applyAlignment="1" applyProtection="1">
      <alignment horizontal="center"/>
    </xf>
    <xf numFmtId="0" fontId="59" fillId="45" borderId="11" xfId="60" applyFont="1" applyFill="1" applyBorder="1" applyAlignment="1" applyProtection="1">
      <alignment horizontal="center"/>
    </xf>
    <xf numFmtId="0" fontId="5" fillId="53" borderId="11" xfId="60" applyFont="1" applyFill="1" applyBorder="1" applyAlignment="1" applyProtection="1">
      <alignment horizontal="center"/>
    </xf>
    <xf numFmtId="168" fontId="56" fillId="53" borderId="10" xfId="60" applyNumberFormat="1" applyFont="1" applyFill="1" applyBorder="1" applyAlignment="1" applyProtection="1">
      <alignment horizontal="center"/>
    </xf>
    <xf numFmtId="168" fontId="2" fillId="53" borderId="10" xfId="60" applyNumberFormat="1" applyFill="1" applyBorder="1" applyAlignment="1" applyProtection="1">
      <alignment horizontal="center"/>
    </xf>
    <xf numFmtId="0" fontId="56" fillId="45" borderId="10" xfId="60" applyFont="1" applyFill="1" applyBorder="1" applyAlignment="1" applyProtection="1">
      <alignment horizontal="center"/>
    </xf>
    <xf numFmtId="0" fontId="6" fillId="45" borderId="10" xfId="60" applyFont="1" applyFill="1" applyBorder="1" applyAlignment="1" applyProtection="1">
      <alignment horizontal="center"/>
    </xf>
  </cellXfs>
  <cellStyles count="6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25000000}"/>
    <cellStyle name="Normal 10 2" xfId="50" xr:uid="{00000000-0005-0000-0000-000026000000}"/>
    <cellStyle name="Normal 11" xfId="38" xr:uid="{00000000-0005-0000-0000-000027000000}"/>
    <cellStyle name="Normal 11 2" xfId="51" xr:uid="{00000000-0005-0000-0000-000028000000}"/>
    <cellStyle name="Normal 12" xfId="39" xr:uid="{00000000-0005-0000-0000-000029000000}"/>
    <cellStyle name="Normal 12 2" xfId="52" xr:uid="{00000000-0005-0000-0000-00002A000000}"/>
    <cellStyle name="Normal 2" xfId="59" xr:uid="{00000000-0005-0000-0000-00002B000000}"/>
    <cellStyle name="Normal 3" xfId="60" xr:uid="{987AC9C7-0A70-4E76-8DBD-FAF2AB41301A}"/>
    <cellStyle name="Normal 4" xfId="40" xr:uid="{00000000-0005-0000-0000-00002C000000}"/>
    <cellStyle name="Normal 4 2" xfId="53" xr:uid="{00000000-0005-0000-0000-00002D000000}"/>
    <cellStyle name="Normal 5" xfId="41" xr:uid="{00000000-0005-0000-0000-00002E000000}"/>
    <cellStyle name="Normal 5 2" xfId="54" xr:uid="{00000000-0005-0000-0000-00002F000000}"/>
    <cellStyle name="Normal 6" xfId="42" xr:uid="{00000000-0005-0000-0000-000030000000}"/>
    <cellStyle name="Normal 6 2" xfId="55" xr:uid="{00000000-0005-0000-0000-000031000000}"/>
    <cellStyle name="Normal 7" xfId="43" xr:uid="{00000000-0005-0000-0000-000032000000}"/>
    <cellStyle name="Normal 7 2" xfId="56" xr:uid="{00000000-0005-0000-0000-000033000000}"/>
    <cellStyle name="Normal 8" xfId="44" xr:uid="{00000000-0005-0000-0000-000034000000}"/>
    <cellStyle name="Normal 8 2" xfId="57" xr:uid="{00000000-0005-0000-0000-000035000000}"/>
    <cellStyle name="Note" xfId="45" builtinId="10" customBuiltin="1"/>
    <cellStyle name="Output" xfId="46" builtinId="21" customBuiltin="1"/>
    <cellStyle name="Percent" xfId="58" builtinId="5"/>
    <cellStyle name="Title" xfId="47" builtinId="15" customBuiltin="1"/>
    <cellStyle name="Total" xfId="48" builtinId="25" customBuiltin="1"/>
    <cellStyle name="Warning Text" xfId="49" builtinId="11" customBuiltin="1"/>
  </cellStyles>
  <dxfs count="144">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ill>
        <patternFill>
          <bgColor rgb="FFFF0000"/>
        </patternFill>
      </fill>
    </dxf>
    <dxf>
      <fill>
        <patternFill>
          <bgColor rgb="FF00FF00"/>
        </patternFill>
      </fill>
    </dxf>
    <dxf>
      <font>
        <color rgb="FF006100"/>
      </font>
      <fill>
        <patternFill>
          <bgColor rgb="FFC6EFCE"/>
        </patternFill>
      </fill>
    </dxf>
    <dxf>
      <font>
        <b/>
        <i val="0"/>
        <strike val="0"/>
      </font>
      <fill>
        <patternFill>
          <bgColor rgb="FFFFFF00"/>
        </patternFill>
      </fill>
    </dxf>
    <dxf>
      <font>
        <color theme="0"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FF0000"/>
      </font>
    </dxf>
    <dxf>
      <fill>
        <patternFill>
          <bgColor rgb="FFFF0000"/>
        </patternFill>
      </fill>
    </dxf>
    <dxf>
      <fill>
        <patternFill>
          <bgColor rgb="FF66FF33"/>
        </patternFill>
      </fill>
    </dxf>
    <dxf>
      <fill>
        <patternFill>
          <bgColor theme="0" tint="-0.24994659260841701"/>
        </patternFill>
      </fill>
    </dxf>
    <dxf>
      <font>
        <color theme="1" tint="0.499984740745262"/>
      </font>
      <fill>
        <patternFill>
          <bgColor theme="0" tint="-0.24994659260841701"/>
        </patternFill>
      </fill>
    </dxf>
    <dxf>
      <fill>
        <patternFill>
          <bgColor theme="0" tint="-0.24994659260841701"/>
        </patternFill>
      </fill>
    </dxf>
    <dxf>
      <font>
        <color theme="1" tint="0.499984740745262"/>
      </font>
      <fill>
        <patternFill>
          <bgColor theme="0" tint="-0.24994659260841701"/>
        </patternFill>
      </fill>
    </dxf>
    <dxf>
      <font>
        <strike val="0"/>
      </font>
      <fill>
        <patternFill>
          <bgColor theme="0" tint="-0.24994659260841701"/>
        </patternFill>
      </fill>
    </dxf>
    <dxf>
      <font>
        <strike val="0"/>
        <color theme="1" tint="0.499984740745262"/>
      </font>
      <fill>
        <patternFill>
          <bgColor theme="0" tint="-0.24994659260841701"/>
        </patternFill>
      </fill>
    </dxf>
    <dxf>
      <fill>
        <patternFill>
          <bgColor theme="0" tint="-0.24994659260841701"/>
        </patternFill>
      </fill>
    </dxf>
    <dxf>
      <font>
        <strike val="0"/>
        <color theme="1" tint="0.499984740745262"/>
      </font>
      <fill>
        <patternFill>
          <bgColor theme="0" tint="-0.24994659260841701"/>
        </patternFill>
      </fill>
    </dxf>
    <dxf>
      <fill>
        <patternFill>
          <bgColor theme="0" tint="-0.24994659260841701"/>
        </patternFill>
      </fill>
    </dxf>
    <dxf>
      <font>
        <color theme="1"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strike val="0"/>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FF0000"/>
      </font>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FF0000"/>
      </font>
    </dxf>
    <dxf>
      <font>
        <color theme="0" tint="-0.499984740745262"/>
      </font>
      <fill>
        <patternFill>
          <bgColor theme="0" tint="-0.24994659260841701"/>
        </patternFill>
      </fill>
    </dxf>
    <dxf>
      <font>
        <color theme="0"/>
      </font>
      <fill>
        <patternFill>
          <bgColor rgb="FFFF0000"/>
        </patternFill>
      </fill>
    </dxf>
    <dxf>
      <font>
        <color theme="0" tint="-0.499984740745262"/>
      </font>
      <fill>
        <patternFill>
          <bgColor theme="0" tint="-0.24994659260841701"/>
        </patternFill>
      </fill>
    </dxf>
    <dxf>
      <font>
        <color theme="0" tint="-0.499984740745262"/>
      </font>
      <fill>
        <patternFill>
          <bgColor theme="0" tint="-0.24994659260841701"/>
        </patternFill>
      </fill>
    </dxf>
    <dxf>
      <fill>
        <patternFill>
          <bgColor indexed="11"/>
        </patternFill>
      </fill>
    </dxf>
  </dxfs>
  <tableStyles count="0" defaultTableStyle="TableStyleMedium9" defaultPivotStyle="PivotStyleLight16"/>
  <colors>
    <mruColors>
      <color rgb="FFFF8080"/>
      <color rgb="FFFF9999"/>
      <color rgb="FFFFFFCC"/>
      <color rgb="FFD5D000"/>
      <color rgb="FF99CCFF"/>
      <color rgb="FFFFFF99"/>
      <color rgb="FF006100"/>
      <color rgb="FFC6EFCE"/>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AD$36" lockText="1" noThreeD="1"/>
</file>

<file path=xl/ctrlProps/ctrlProp2.xml><?xml version="1.0" encoding="utf-8"?>
<formControlPr xmlns="http://schemas.microsoft.com/office/spreadsheetml/2009/9/main" objectType="CheckBox" checked="Checked" fmlaLink="$AD$66" lockText="1" noThreeD="1"/>
</file>

<file path=xl/ctrlProps/ctrlProp3.xml><?xml version="1.0" encoding="utf-8"?>
<formControlPr xmlns="http://schemas.microsoft.com/office/spreadsheetml/2009/9/main" objectType="CheckBox" fmlaLink="$N$33" lockText="1" noThreeD="1"/>
</file>

<file path=xl/ctrlProps/ctrlProp4.xml><?xml version="1.0" encoding="utf-8"?>
<formControlPr xmlns="http://schemas.microsoft.com/office/spreadsheetml/2009/9/main" objectType="CheckBox" fmlaLink="$N$34" lockText="1" noThreeD="1"/>
</file>

<file path=xl/ctrlProps/ctrlProp5.xml><?xml version="1.0" encoding="utf-8"?>
<formControlPr xmlns="http://schemas.microsoft.com/office/spreadsheetml/2009/9/main" objectType="CheckBox" fmlaLink="$N$35" lockText="1" noThreeD="1"/>
</file>

<file path=xl/ctrlProps/ctrlProp6.xml><?xml version="1.0" encoding="utf-8"?>
<formControlPr xmlns="http://schemas.microsoft.com/office/spreadsheetml/2009/9/main" objectType="CheckBox" fmlaLink="$O$37"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xdr:row>
          <xdr:rowOff>114300</xdr:rowOff>
        </xdr:from>
        <xdr:to>
          <xdr:col>1</xdr:col>
          <xdr:colOff>1478280</xdr:colOff>
          <xdr:row>3</xdr:row>
          <xdr:rowOff>45720</xdr:rowOff>
        </xdr:to>
        <xdr:sp macro="" textlink="">
          <xdr:nvSpPr>
            <xdr:cNvPr id="2055" name="OptionButton1"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xdr:row>
          <xdr:rowOff>114300</xdr:rowOff>
        </xdr:from>
        <xdr:to>
          <xdr:col>1</xdr:col>
          <xdr:colOff>1485900</xdr:colOff>
          <xdr:row>4</xdr:row>
          <xdr:rowOff>45720</xdr:rowOff>
        </xdr:to>
        <xdr:sp macro="" textlink="">
          <xdr:nvSpPr>
            <xdr:cNvPr id="2056" name="OptionButton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xdr:row>
          <xdr:rowOff>144780</xdr:rowOff>
        </xdr:from>
        <xdr:to>
          <xdr:col>1</xdr:col>
          <xdr:colOff>1478280</xdr:colOff>
          <xdr:row>5</xdr:row>
          <xdr:rowOff>60960</xdr:rowOff>
        </xdr:to>
        <xdr:sp macro="" textlink="">
          <xdr:nvSpPr>
            <xdr:cNvPr id="2057" name="OptionButton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34</xdr:row>
          <xdr:rowOff>198120</xdr:rowOff>
        </xdr:from>
        <xdr:to>
          <xdr:col>4</xdr:col>
          <xdr:colOff>180975</xdr:colOff>
          <xdr:row>36</xdr:row>
          <xdr:rowOff>95250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Default values not used.  Stream has associated collected water quality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2537460</xdr:colOff>
          <xdr:row>59</xdr:row>
          <xdr:rowOff>373380</xdr:rowOff>
        </xdr:from>
        <xdr:to>
          <xdr:col>5</xdr:col>
          <xdr:colOff>342900</xdr:colOff>
          <xdr:row>59</xdr:row>
          <xdr:rowOff>581025</xdr:rowOff>
        </xdr:to>
        <xdr:sp macro="" textlink="">
          <xdr:nvSpPr>
            <xdr:cNvPr id="13597" name="Check Box 285" hidden="1">
              <a:extLst>
                <a:ext uri="{63B3BB69-23CF-44E3-9099-C40C66FF867C}">
                  <a14:compatExt spid="_x0000_s13597"/>
                </a:ext>
                <a:ext uri="{FF2B5EF4-FFF2-40B4-BE49-F238E27FC236}">
                  <a16:creationId xmlns:a16="http://schemas.microsoft.com/office/drawing/2014/main" id="{00000000-0008-0000-0200-00001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Enter Data.  Do not use Default values.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32</xdr:row>
          <xdr:rowOff>60960</xdr:rowOff>
        </xdr:from>
        <xdr:to>
          <xdr:col>0</xdr:col>
          <xdr:colOff>861060</xdr:colOff>
          <xdr:row>32</xdr:row>
          <xdr:rowOff>274320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33</xdr:row>
          <xdr:rowOff>60960</xdr:rowOff>
        </xdr:from>
        <xdr:to>
          <xdr:col>0</xdr:col>
          <xdr:colOff>861060</xdr:colOff>
          <xdr:row>33</xdr:row>
          <xdr:rowOff>274320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34</xdr:row>
          <xdr:rowOff>60960</xdr:rowOff>
        </xdr:from>
        <xdr:to>
          <xdr:col>0</xdr:col>
          <xdr:colOff>861060</xdr:colOff>
          <xdr:row>34</xdr:row>
          <xdr:rowOff>274320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36</xdr:row>
          <xdr:rowOff>182880</xdr:rowOff>
        </xdr:from>
        <xdr:to>
          <xdr:col>0</xdr:col>
          <xdr:colOff>556260</xdr:colOff>
          <xdr:row>37</xdr:row>
          <xdr:rowOff>121920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1RDEJME/Desktop/JE/Projects%20and%20Workload/Ohio%20SWVM/Streams/Impact%20and%20mitigation%20example%20-%20102417b%20OHIO%20SWVM-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3pmceom/AppData/Local/Microsoft/Windows/INetCache/Content.Outlook/J34OMFHG/New%20WV%20SWVM-7-10-23%20-%20BL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4EEWEOM/AppData/Local/Microsoft/Windows/INetCache/Content.Outlook/14R0GATV/with%20instructions%2012-19-17%20OHIO%20SWVM-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tart"/>
      <sheetName val="Instructions"/>
      <sheetName val="Stream Parts I-II"/>
      <sheetName val="Lists and Arrays"/>
      <sheetName val="Stream Parts III-VI"/>
      <sheetName val="Multiple Site Unit Comparison"/>
      <sheetName val="Wetlands Parts I-III"/>
      <sheetName val="Wetlands Parts IV-V"/>
      <sheetName val="code"/>
    </sheetNames>
    <sheetDataSet>
      <sheetData sheetId="0" refreshError="1"/>
      <sheetData sheetId="1" refreshError="1"/>
      <sheetData sheetId="2"/>
      <sheetData sheetId="3" refreshError="1"/>
      <sheetData sheetId="4">
        <row r="5">
          <cell r="B5" t="str">
            <v>Select an Ecoregion</v>
          </cell>
          <cell r="Q5" t="str">
            <v>Yes</v>
          </cell>
        </row>
        <row r="6">
          <cell r="B6" t="str">
            <v>Huron/Erie Lake Plains HELP (1)</v>
          </cell>
          <cell r="Q6" t="str">
            <v>No</v>
          </cell>
        </row>
        <row r="7">
          <cell r="B7" t="str">
            <v>Interior Plateau IP (2)</v>
          </cell>
        </row>
        <row r="8">
          <cell r="B8" t="str">
            <v>Erie/Ontario Lake Plains EOLP (3)</v>
          </cell>
        </row>
        <row r="9">
          <cell r="B9" t="str">
            <v>Western Allegheny Plateau WAP (4)</v>
          </cell>
        </row>
        <row r="10">
          <cell r="B10" t="str">
            <v>Eastern Corn Belt Plains ECBP (5)</v>
          </cell>
        </row>
        <row r="13">
          <cell r="B13" t="str">
            <v>Select a Stream Class</v>
          </cell>
          <cell r="C13" t="str">
            <v>Select a Pool Depth Class</v>
          </cell>
        </row>
        <row r="14">
          <cell r="B14" t="str">
            <v>Ephemeral</v>
          </cell>
          <cell r="C14" t="str">
            <v>Predominant natural pools generally ≤40 cm</v>
          </cell>
        </row>
        <row r="15">
          <cell r="B15" t="str">
            <v>Intermittent</v>
          </cell>
          <cell r="C15" t="str">
            <v>Predominant natural pools generally &gt;40 cm</v>
          </cell>
        </row>
        <row r="16">
          <cell r="B16" t="str">
            <v>Perennial</v>
          </cell>
        </row>
        <row r="23">
          <cell r="B23" t="str">
            <v xml:space="preserve">Select An Aquatic Life Use </v>
          </cell>
        </row>
        <row r="24">
          <cell r="B24" t="str">
            <v>Undesignated (1:1)</v>
          </cell>
        </row>
        <row r="25">
          <cell r="B25" t="str">
            <v>Coldwater Habitat (3:1)</v>
          </cell>
        </row>
        <row r="26">
          <cell r="B26" t="str">
            <v>Exceptional Warmwater Habitat (3:1)</v>
          </cell>
        </row>
        <row r="27">
          <cell r="B27" t="str">
            <v>Seasonal Salmonid Habitat (3:1)</v>
          </cell>
        </row>
        <row r="28">
          <cell r="B28" t="str">
            <v>Warmwater Habitat (2:1)</v>
          </cell>
        </row>
        <row r="29">
          <cell r="B29" t="str">
            <v>Limited Warmwater Habitat (1.5:1)</v>
          </cell>
        </row>
        <row r="30">
          <cell r="B30" t="str">
            <v>Modified Warmwater Habitat (1.5:1)</v>
          </cell>
        </row>
        <row r="31">
          <cell r="B31" t="str">
            <v>Limited Resource Waters (1:1)</v>
          </cell>
        </row>
        <row r="34">
          <cell r="B34" t="str">
            <v xml:space="preserve">          USEPA RPB (Select a Data Sheet)</v>
          </cell>
        </row>
        <row r="35">
          <cell r="B35" t="str">
            <v xml:space="preserve">          USEPA RBP (High Gradient Data Sheet)</v>
          </cell>
        </row>
        <row r="36">
          <cell r="B36" t="str">
            <v xml:space="preserve">          USEPA RBP (Low Gradient Data Sheet)</v>
          </cell>
        </row>
        <row r="40">
          <cell r="B40">
            <v>0</v>
          </cell>
        </row>
        <row r="41">
          <cell r="B41">
            <v>1</v>
          </cell>
        </row>
        <row r="42">
          <cell r="B42">
            <v>2</v>
          </cell>
        </row>
        <row r="43">
          <cell r="B43">
            <v>3</v>
          </cell>
        </row>
        <row r="44">
          <cell r="B44">
            <v>4</v>
          </cell>
        </row>
        <row r="45">
          <cell r="B45">
            <v>5</v>
          </cell>
        </row>
        <row r="46">
          <cell r="B46">
            <v>6</v>
          </cell>
        </row>
        <row r="47">
          <cell r="B47">
            <v>7</v>
          </cell>
        </row>
        <row r="48">
          <cell r="B48">
            <v>8</v>
          </cell>
        </row>
        <row r="49">
          <cell r="B49">
            <v>9</v>
          </cell>
        </row>
        <row r="50">
          <cell r="B50">
            <v>10</v>
          </cell>
        </row>
        <row r="51">
          <cell r="B51">
            <v>11</v>
          </cell>
        </row>
        <row r="52">
          <cell r="B52">
            <v>12</v>
          </cell>
        </row>
        <row r="53">
          <cell r="B53">
            <v>13</v>
          </cell>
        </row>
        <row r="54">
          <cell r="B54">
            <v>14</v>
          </cell>
        </row>
        <row r="55">
          <cell r="B55">
            <v>15</v>
          </cell>
        </row>
        <row r="56">
          <cell r="B56">
            <v>16</v>
          </cell>
        </row>
        <row r="57">
          <cell r="B57">
            <v>17</v>
          </cell>
        </row>
        <row r="58">
          <cell r="B58">
            <v>18</v>
          </cell>
        </row>
        <row r="59">
          <cell r="B59">
            <v>19</v>
          </cell>
        </row>
        <row r="60">
          <cell r="B60">
            <v>20</v>
          </cell>
        </row>
        <row r="61">
          <cell r="B61">
            <v>21</v>
          </cell>
        </row>
        <row r="62">
          <cell r="B62">
            <v>22</v>
          </cell>
        </row>
        <row r="63">
          <cell r="B63">
            <v>23</v>
          </cell>
        </row>
        <row r="64">
          <cell r="B64">
            <v>24</v>
          </cell>
        </row>
        <row r="65">
          <cell r="B65">
            <v>25</v>
          </cell>
        </row>
        <row r="66">
          <cell r="B66">
            <v>26</v>
          </cell>
          <cell r="F66" t="str">
            <v>Select a score based on data sheet:</v>
          </cell>
        </row>
        <row r="67">
          <cell r="B67">
            <v>27</v>
          </cell>
          <cell r="F67" t="str">
            <v>Exceptional+</v>
          </cell>
        </row>
        <row r="68">
          <cell r="B68">
            <v>28</v>
          </cell>
          <cell r="F68" t="str">
            <v>Exceptional</v>
          </cell>
        </row>
        <row r="69">
          <cell r="B69">
            <v>29</v>
          </cell>
          <cell r="F69" t="str">
            <v>Very Good</v>
          </cell>
        </row>
        <row r="70">
          <cell r="B70">
            <v>30</v>
          </cell>
          <cell r="F70" t="str">
            <v>Good</v>
          </cell>
        </row>
        <row r="71">
          <cell r="B71">
            <v>31</v>
          </cell>
          <cell r="F71" t="str">
            <v>Marginally Good</v>
          </cell>
        </row>
        <row r="72">
          <cell r="B72">
            <v>32</v>
          </cell>
          <cell r="F72" t="str">
            <v>Fair</v>
          </cell>
        </row>
        <row r="73">
          <cell r="B73">
            <v>33</v>
          </cell>
          <cell r="F73" t="str">
            <v>Low Fair</v>
          </cell>
        </row>
        <row r="74">
          <cell r="B74">
            <v>34</v>
          </cell>
          <cell r="F74" t="str">
            <v>Poor</v>
          </cell>
        </row>
        <row r="75">
          <cell r="B75">
            <v>35</v>
          </cell>
          <cell r="F75" t="str">
            <v>Very Poor</v>
          </cell>
        </row>
        <row r="76">
          <cell r="B76">
            <v>36</v>
          </cell>
        </row>
        <row r="77">
          <cell r="B77">
            <v>37</v>
          </cell>
        </row>
        <row r="78">
          <cell r="B78">
            <v>38</v>
          </cell>
        </row>
        <row r="79">
          <cell r="B79">
            <v>39</v>
          </cell>
        </row>
        <row r="80">
          <cell r="B80">
            <v>40</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tart"/>
      <sheetName val="Stream Parts I-II"/>
      <sheetName val="Sheet1"/>
      <sheetName val="Lists and Arrays"/>
      <sheetName val="Stream Parts III-VI"/>
      <sheetName val="Multiple Site Unit Comparison"/>
      <sheetName val="Wetlands Parts I-II"/>
      <sheetName val="Wetland Part III-Credits"/>
      <sheetName val="Wetland Parts IV-V"/>
      <sheetName val="code"/>
    </sheetNames>
    <sheetDataSet>
      <sheetData sheetId="0"/>
      <sheetData sheetId="1"/>
      <sheetData sheetId="2"/>
      <sheetData sheetId="3"/>
      <sheetData sheetId="4">
        <row r="5">
          <cell r="B5" t="str">
            <v>Select an Ecoregion</v>
          </cell>
        </row>
        <row r="6">
          <cell r="B6" t="str">
            <v>Huron/Erie Lake Plains HELP (1)</v>
          </cell>
        </row>
        <row r="7">
          <cell r="B7" t="str">
            <v>Interior Plateau IP (2)</v>
          </cell>
        </row>
        <row r="8">
          <cell r="B8" t="str">
            <v>Erie/Ontario Lake Plains EOLP (3)</v>
          </cell>
        </row>
        <row r="9">
          <cell r="B9" t="str">
            <v>Western Allegheny Plateau WAP (4)</v>
          </cell>
        </row>
        <row r="10">
          <cell r="B10" t="str">
            <v>Eastern Corn Belt Plains ECBP (5)</v>
          </cell>
        </row>
        <row r="34">
          <cell r="B34" t="str">
            <v xml:space="preserve">          USEPA RBP (Select a Data Sheet)</v>
          </cell>
        </row>
        <row r="35">
          <cell r="B35" t="str">
            <v xml:space="preserve">          USEPA RBP (High Gradient Data Sheet)</v>
          </cell>
        </row>
        <row r="36">
          <cell r="B36" t="str">
            <v xml:space="preserve">          USEPA RBP (Low Gradient Data Sheet)</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tart"/>
      <sheetName val="Stream Parts I-II"/>
      <sheetName val="Lists and Arrays"/>
      <sheetName val="Stream Parts III-VI"/>
      <sheetName val="Multiple Site Unit Comparison"/>
      <sheetName val="Wetlands Parts I-III"/>
      <sheetName val="Wetlands Parts IV-V"/>
      <sheetName val="code"/>
    </sheetNames>
    <sheetDataSet>
      <sheetData sheetId="0"/>
      <sheetData sheetId="1"/>
      <sheetData sheetId="2"/>
      <sheetData sheetId="3">
        <row r="5">
          <cell r="S5" t="str">
            <v>Mitigation Bank</v>
          </cell>
        </row>
        <row r="6">
          <cell r="S6" t="str">
            <v>In Lieu Fee</v>
          </cell>
        </row>
        <row r="7">
          <cell r="S7" t="str">
            <v>≤ 1 Year</v>
          </cell>
        </row>
        <row r="8">
          <cell r="S8" t="str">
            <v>2 Years</v>
          </cell>
        </row>
        <row r="9">
          <cell r="S9" t="str">
            <v>3 Years</v>
          </cell>
        </row>
        <row r="10">
          <cell r="S10" t="str">
            <v>4 Years</v>
          </cell>
        </row>
        <row r="11">
          <cell r="S11" t="str">
            <v>5 Years</v>
          </cell>
        </row>
        <row r="12">
          <cell r="S12" t="str">
            <v>6 Years</v>
          </cell>
        </row>
        <row r="13">
          <cell r="S13" t="str">
            <v>7 Years</v>
          </cell>
        </row>
        <row r="14">
          <cell r="S14" t="str">
            <v>8 Years</v>
          </cell>
        </row>
        <row r="15">
          <cell r="S15" t="str">
            <v>9 Years</v>
          </cell>
        </row>
        <row r="16">
          <cell r="S16" t="str">
            <v>10 Years</v>
          </cell>
        </row>
        <row r="17">
          <cell r="S17" t="str">
            <v>11 Years</v>
          </cell>
        </row>
        <row r="18">
          <cell r="S18" t="str">
            <v>12 Years</v>
          </cell>
        </row>
        <row r="19">
          <cell r="S19" t="str">
            <v>13 Years</v>
          </cell>
        </row>
        <row r="20">
          <cell r="S20" t="str">
            <v>14 Years</v>
          </cell>
        </row>
        <row r="21">
          <cell r="S21" t="str">
            <v>15 Years</v>
          </cell>
        </row>
        <row r="22">
          <cell r="S22" t="str">
            <v>16 Years</v>
          </cell>
        </row>
        <row r="23">
          <cell r="S23" t="str">
            <v>17 Years</v>
          </cell>
        </row>
        <row r="24">
          <cell r="S24" t="str">
            <v>18 Years</v>
          </cell>
        </row>
        <row r="25">
          <cell r="S25" t="str">
            <v>19 Years</v>
          </cell>
        </row>
        <row r="26">
          <cell r="S26" t="str">
            <v>≥20 Years</v>
          </cell>
        </row>
        <row r="31">
          <cell r="S31" t="str">
            <v>≤ 1 Year</v>
          </cell>
        </row>
        <row r="32">
          <cell r="S32" t="str">
            <v>2 Years</v>
          </cell>
        </row>
        <row r="33">
          <cell r="S33" t="str">
            <v>3 Years</v>
          </cell>
        </row>
        <row r="34">
          <cell r="S34" t="str">
            <v>4 Years</v>
          </cell>
        </row>
        <row r="35">
          <cell r="S35" t="str">
            <v>5 Years</v>
          </cell>
        </row>
        <row r="36">
          <cell r="S36" t="str">
            <v>6 Years</v>
          </cell>
        </row>
        <row r="37">
          <cell r="S37" t="str">
            <v>7 Years</v>
          </cell>
        </row>
        <row r="38">
          <cell r="S38" t="str">
            <v>8 Years</v>
          </cell>
        </row>
        <row r="39">
          <cell r="S39" t="str">
            <v>9 Years</v>
          </cell>
        </row>
        <row r="40">
          <cell r="S40" t="str">
            <v>10 Years</v>
          </cell>
        </row>
        <row r="41">
          <cell r="B41">
            <v>-3</v>
          </cell>
          <cell r="S41" t="str">
            <v>11 Years</v>
          </cell>
        </row>
        <row r="42">
          <cell r="B42">
            <v>-2</v>
          </cell>
          <cell r="S42" t="str">
            <v>12 Years</v>
          </cell>
        </row>
        <row r="43">
          <cell r="B43">
            <v>-1</v>
          </cell>
          <cell r="S43" t="str">
            <v>13 Years</v>
          </cell>
        </row>
        <row r="44">
          <cell r="B44">
            <v>0</v>
          </cell>
          <cell r="S44" t="str">
            <v>14 Years</v>
          </cell>
        </row>
        <row r="45">
          <cell r="B45">
            <v>1</v>
          </cell>
          <cell r="S45" t="str">
            <v>15 Years</v>
          </cell>
        </row>
        <row r="46">
          <cell r="B46">
            <v>2</v>
          </cell>
          <cell r="S46" t="str">
            <v>16 Years</v>
          </cell>
        </row>
        <row r="47">
          <cell r="B47">
            <v>3</v>
          </cell>
          <cell r="S47" t="str">
            <v>17 Years</v>
          </cell>
        </row>
        <row r="48">
          <cell r="B48">
            <v>4</v>
          </cell>
          <cell r="S48" t="str">
            <v>18 Years</v>
          </cell>
        </row>
        <row r="49">
          <cell r="B49">
            <v>5</v>
          </cell>
          <cell r="S49" t="str">
            <v>19 Years</v>
          </cell>
        </row>
        <row r="50">
          <cell r="B50">
            <v>6</v>
          </cell>
          <cell r="S50" t="str">
            <v>20 Years</v>
          </cell>
        </row>
        <row r="51">
          <cell r="B51">
            <v>7</v>
          </cell>
          <cell r="S51" t="str">
            <v>21 Years</v>
          </cell>
        </row>
        <row r="52">
          <cell r="B52">
            <v>8</v>
          </cell>
          <cell r="S52" t="str">
            <v>22 Years</v>
          </cell>
        </row>
        <row r="53">
          <cell r="B53">
            <v>9</v>
          </cell>
          <cell r="S53" t="str">
            <v>23 Years</v>
          </cell>
        </row>
        <row r="54">
          <cell r="B54">
            <v>10</v>
          </cell>
          <cell r="S54" t="str">
            <v>24 Years</v>
          </cell>
        </row>
        <row r="55">
          <cell r="B55">
            <v>11</v>
          </cell>
          <cell r="S55" t="str">
            <v>25 Years</v>
          </cell>
        </row>
        <row r="56">
          <cell r="B56">
            <v>12</v>
          </cell>
          <cell r="S56" t="str">
            <v>26 Years</v>
          </cell>
        </row>
        <row r="57">
          <cell r="S57" t="str">
            <v>27 Years</v>
          </cell>
        </row>
        <row r="58">
          <cell r="S58" t="str">
            <v>28 Years</v>
          </cell>
        </row>
        <row r="59">
          <cell r="S59" t="str">
            <v>29 Years</v>
          </cell>
        </row>
        <row r="60">
          <cell r="S60" t="str">
            <v>30 Years</v>
          </cell>
        </row>
        <row r="61">
          <cell r="S61" t="str">
            <v>&gt;30 Years</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7"/>
  <sheetViews>
    <sheetView workbookViewId="0">
      <selection activeCell="E4" sqref="E4"/>
    </sheetView>
  </sheetViews>
  <sheetFormatPr defaultRowHeight="13.2" x14ac:dyDescent="0.25"/>
  <cols>
    <col min="2" max="2" width="24.44140625" customWidth="1"/>
  </cols>
  <sheetData>
    <row r="1" spans="1:5" x14ac:dyDescent="0.25">
      <c r="A1" s="680" t="s">
        <v>7</v>
      </c>
      <c r="B1" s="680" t="s">
        <v>16</v>
      </c>
      <c r="C1" s="682" t="s">
        <v>6</v>
      </c>
      <c r="D1" s="683"/>
    </row>
    <row r="2" spans="1:5" x14ac:dyDescent="0.25">
      <c r="A2" s="681"/>
      <c r="B2" s="681"/>
      <c r="C2" s="684"/>
      <c r="D2" s="685"/>
    </row>
    <row r="3" spans="1:5" ht="12" customHeight="1" x14ac:dyDescent="0.25">
      <c r="A3" s="3" t="s">
        <v>13</v>
      </c>
      <c r="C3" s="686"/>
      <c r="D3" s="687"/>
      <c r="E3" s="2">
        <v>0</v>
      </c>
    </row>
    <row r="4" spans="1:5" x14ac:dyDescent="0.25">
      <c r="A4" s="4" t="s">
        <v>8</v>
      </c>
      <c r="C4" s="688"/>
      <c r="D4" s="689"/>
      <c r="E4" s="1">
        <v>20</v>
      </c>
    </row>
    <row r="5" spans="1:5" x14ac:dyDescent="0.25">
      <c r="A5" s="5" t="s">
        <v>9</v>
      </c>
      <c r="C5" s="688"/>
      <c r="D5" s="689"/>
      <c r="E5" s="1">
        <v>40</v>
      </c>
    </row>
    <row r="6" spans="1:5" x14ac:dyDescent="0.25">
      <c r="A6" s="5" t="s">
        <v>10</v>
      </c>
      <c r="C6" s="690"/>
      <c r="D6" s="691"/>
      <c r="E6" s="1">
        <v>60</v>
      </c>
    </row>
    <row r="7" spans="1:5" x14ac:dyDescent="0.25">
      <c r="A7" s="676" t="s">
        <v>12</v>
      </c>
      <c r="B7" s="677"/>
      <c r="C7" s="678"/>
      <c r="D7" s="679"/>
    </row>
  </sheetData>
  <mergeCells count="6">
    <mergeCell ref="A7:B7"/>
    <mergeCell ref="C7:D7"/>
    <mergeCell ref="A1:A2"/>
    <mergeCell ref="B1:B2"/>
    <mergeCell ref="C1:D2"/>
    <mergeCell ref="C3:D6"/>
  </mergeCells>
  <phoneticPr fontId="5" type="noConversion"/>
  <pageMargins left="0.75" right="0.75" top="1" bottom="1" header="0.5" footer="0.5"/>
  <pageSetup orientation="portrait" r:id="rId1"/>
  <headerFooter alignWithMargins="0"/>
  <drawing r:id="rId2"/>
  <legacyDrawing r:id="rId3"/>
  <controls>
    <mc:AlternateContent xmlns:mc="http://schemas.openxmlformats.org/markup-compatibility/2006">
      <mc:Choice Requires="x14">
        <control shapeId="2057" r:id="rId4" name="OptionButton3">
          <controlPr autoLine="0" r:id="rId5">
            <anchor moveWithCells="1">
              <from>
                <xdr:col>1</xdr:col>
                <xdr:colOff>106680</xdr:colOff>
                <xdr:row>3</xdr:row>
                <xdr:rowOff>144780</xdr:rowOff>
              </from>
              <to>
                <xdr:col>1</xdr:col>
                <xdr:colOff>1478280</xdr:colOff>
                <xdr:row>5</xdr:row>
                <xdr:rowOff>60960</xdr:rowOff>
              </to>
            </anchor>
          </controlPr>
        </control>
      </mc:Choice>
      <mc:Fallback>
        <control shapeId="2057" r:id="rId4" name="OptionButton3"/>
      </mc:Fallback>
    </mc:AlternateContent>
    <mc:AlternateContent xmlns:mc="http://schemas.openxmlformats.org/markup-compatibility/2006">
      <mc:Choice Requires="x14">
        <control shapeId="2056" r:id="rId6" name="OptionButton2">
          <controlPr autoLine="0" r:id="rId7">
            <anchor moveWithCells="1">
              <from>
                <xdr:col>1</xdr:col>
                <xdr:colOff>114300</xdr:colOff>
                <xdr:row>2</xdr:row>
                <xdr:rowOff>114300</xdr:rowOff>
              </from>
              <to>
                <xdr:col>1</xdr:col>
                <xdr:colOff>1485900</xdr:colOff>
                <xdr:row>4</xdr:row>
                <xdr:rowOff>45720</xdr:rowOff>
              </to>
            </anchor>
          </controlPr>
        </control>
      </mc:Choice>
      <mc:Fallback>
        <control shapeId="2056" r:id="rId6" name="OptionButton2"/>
      </mc:Fallback>
    </mc:AlternateContent>
    <mc:AlternateContent xmlns:mc="http://schemas.openxmlformats.org/markup-compatibility/2006">
      <mc:Choice Requires="x14">
        <control shapeId="2055" r:id="rId8" name="OptionButton1">
          <controlPr autoLine="0" r:id="rId9">
            <anchor moveWithCells="1">
              <from>
                <xdr:col>1</xdr:col>
                <xdr:colOff>106680</xdr:colOff>
                <xdr:row>1</xdr:row>
                <xdr:rowOff>114300</xdr:rowOff>
              </from>
              <to>
                <xdr:col>1</xdr:col>
                <xdr:colOff>1478280</xdr:colOff>
                <xdr:row>3</xdr:row>
                <xdr:rowOff>45720</xdr:rowOff>
              </to>
            </anchor>
          </controlPr>
        </control>
      </mc:Choice>
      <mc:Fallback>
        <control shapeId="2055" r:id="rId8" name="OptionButton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C4648-0195-4BBE-AB99-7054134B25E7}">
  <dimension ref="A1:R33"/>
  <sheetViews>
    <sheetView view="pageLayout" zoomScaleNormal="100" workbookViewId="0">
      <selection activeCell="F14" sqref="F14"/>
    </sheetView>
  </sheetViews>
  <sheetFormatPr defaultColWidth="0" defaultRowHeight="14.4" zeroHeight="1" x14ac:dyDescent="0.3"/>
  <cols>
    <col min="1" max="1" width="23.6640625" style="565" customWidth="1"/>
    <col min="2" max="2" width="12.21875" style="565" customWidth="1"/>
    <col min="3" max="5" width="8.88671875" style="565" customWidth="1"/>
    <col min="6" max="6" width="21.88671875" style="565" customWidth="1"/>
    <col min="7" max="7" width="9.88671875" style="565" customWidth="1"/>
    <col min="8" max="8" width="15.44140625" style="565" customWidth="1"/>
    <col min="9" max="9" width="9.88671875" style="565" customWidth="1"/>
    <col min="10" max="10" width="3.6640625" style="565" customWidth="1"/>
    <col min="11" max="11" width="25.6640625" style="565" hidden="1" customWidth="1"/>
    <col min="12" max="12" width="29.109375" style="565" hidden="1" customWidth="1"/>
    <col min="13" max="13" width="8.88671875" style="565" hidden="1" customWidth="1"/>
    <col min="14" max="14" width="17.109375" style="565" hidden="1" customWidth="1"/>
    <col min="15" max="15" width="9.88671875" style="565" hidden="1" customWidth="1"/>
    <col min="16" max="16384" width="8.88671875" style="565" hidden="1"/>
  </cols>
  <sheetData>
    <row r="1" spans="1:18" ht="15.6" x14ac:dyDescent="0.3">
      <c r="A1" s="1269" t="s">
        <v>492</v>
      </c>
      <c r="B1" s="1270"/>
      <c r="C1" s="1270"/>
      <c r="D1" s="1270"/>
      <c r="E1" s="1270"/>
      <c r="F1" s="1270"/>
      <c r="G1" s="1270"/>
      <c r="H1" s="1270"/>
      <c r="I1" s="1271"/>
      <c r="J1" s="493"/>
      <c r="K1" s="563"/>
      <c r="L1" s="564"/>
      <c r="M1" s="564"/>
      <c r="N1" s="564"/>
      <c r="O1" s="564"/>
      <c r="P1" s="564"/>
      <c r="Q1" s="564"/>
      <c r="R1" s="564"/>
    </row>
    <row r="2" spans="1:18" x14ac:dyDescent="0.3">
      <c r="A2" s="1272"/>
      <c r="B2" s="1273"/>
      <c r="C2" s="1273"/>
      <c r="D2" s="1273"/>
      <c r="E2" s="1273"/>
      <c r="F2" s="1273"/>
      <c r="G2" s="1273"/>
      <c r="H2" s="1273"/>
      <c r="I2" s="1274"/>
      <c r="J2" s="493"/>
      <c r="K2" s="566"/>
      <c r="L2" s="563"/>
      <c r="M2" s="567"/>
      <c r="N2" s="563"/>
      <c r="O2" s="563"/>
      <c r="P2" s="563"/>
      <c r="Q2" s="563"/>
      <c r="R2" s="563"/>
    </row>
    <row r="3" spans="1:18" x14ac:dyDescent="0.3">
      <c r="A3" s="1275" t="s">
        <v>504</v>
      </c>
      <c r="B3" s="1276"/>
      <c r="C3" s="1276"/>
      <c r="D3" s="1277"/>
      <c r="E3" s="493"/>
      <c r="F3" s="1275" t="s">
        <v>505</v>
      </c>
      <c r="G3" s="1276"/>
      <c r="H3" s="1276"/>
      <c r="I3" s="1277"/>
      <c r="J3" s="493"/>
      <c r="K3" s="568"/>
      <c r="L3" s="568"/>
      <c r="M3" s="569"/>
      <c r="N3" s="570"/>
      <c r="O3" s="571"/>
      <c r="P3" s="571"/>
      <c r="Q3" s="569"/>
      <c r="R3" s="568"/>
    </row>
    <row r="4" spans="1:18" ht="22.8" customHeight="1" x14ac:dyDescent="0.3">
      <c r="A4" s="1286" t="s">
        <v>47</v>
      </c>
      <c r="B4" s="1287"/>
      <c r="C4" s="1287"/>
      <c r="D4" s="1288"/>
      <c r="E4" s="634"/>
      <c r="F4" s="1293" t="s">
        <v>23</v>
      </c>
      <c r="G4" s="1294"/>
      <c r="H4" s="1297" t="s">
        <v>520</v>
      </c>
      <c r="I4" s="1298"/>
      <c r="J4" s="493"/>
      <c r="K4" s="563"/>
      <c r="L4" s="572"/>
      <c r="M4" s="569"/>
      <c r="N4" s="570"/>
      <c r="O4" s="569"/>
      <c r="P4" s="569"/>
      <c r="Q4" s="569"/>
      <c r="R4" s="568"/>
    </row>
    <row r="5" spans="1:18" ht="33.6" customHeight="1" x14ac:dyDescent="0.3">
      <c r="A5" s="1291" t="s">
        <v>302</v>
      </c>
      <c r="B5" s="1292"/>
      <c r="C5" s="1289" t="s">
        <v>572</v>
      </c>
      <c r="D5" s="1290"/>
      <c r="E5" s="635"/>
      <c r="F5" s="1295"/>
      <c r="G5" s="1296"/>
      <c r="H5" s="1299"/>
      <c r="I5" s="1300"/>
      <c r="J5" s="493"/>
      <c r="K5" s="563"/>
      <c r="L5" s="572"/>
      <c r="M5" s="569"/>
      <c r="N5" s="570"/>
      <c r="O5" s="569"/>
      <c r="P5" s="569"/>
      <c r="Q5" s="569"/>
      <c r="R5" s="568"/>
    </row>
    <row r="6" spans="1:18" x14ac:dyDescent="0.3">
      <c r="A6" s="1278" t="str">
        <f>IF(C6="","",VLOOKUP(C6,'Lists and Arrays'!$S$4:$T$26,2,0))</f>
        <v/>
      </c>
      <c r="B6" s="1279"/>
      <c r="C6" s="1282"/>
      <c r="D6" s="1283"/>
      <c r="E6" s="495"/>
      <c r="F6" s="1301" t="str">
        <f>IF(OR($C$6='Lists and Arrays'!$S$5,$C$6='Lists and Arrays'!$S$6),"0 + 5/10 Year Monitoring",IF(H6="","",IF(AND(H6&lt;=20,H6&gt;=0),"50% + 20 Year Monitoring",IF(AND(H6&gt;20,H6&lt;=30),"40% + 15 Year Monitoring",IF(AND(H6&lt;=40,H6&gt;30),"30% + 10 Year Monitoring",IF(AND(H6&lt;=50,H6&gt;40),"20% + 5/10 Year Monitoring",IF(AND(H6&lt;=100,H6&gt;50),"10% + 5/10 Year Monitoring",IF(OR(H6="perpetual",H6&gt;100),"0 + 5/10 Year Monitoring",0))))))))</f>
        <v/>
      </c>
      <c r="G6" s="1302"/>
      <c r="H6" s="1305"/>
      <c r="I6" s="1306"/>
      <c r="J6" s="493"/>
      <c r="K6" s="563" t="s">
        <v>506</v>
      </c>
      <c r="L6" s="572"/>
      <c r="M6" s="569"/>
      <c r="N6" s="563"/>
      <c r="O6" s="569"/>
      <c r="P6" s="569"/>
      <c r="Q6" s="569"/>
      <c r="R6" s="573"/>
    </row>
    <row r="7" spans="1:18" x14ac:dyDescent="0.3">
      <c r="A7" s="1280"/>
      <c r="B7" s="1281"/>
      <c r="C7" s="1284"/>
      <c r="D7" s="1285"/>
      <c r="E7" s="495"/>
      <c r="F7" s="1303"/>
      <c r="G7" s="1304"/>
      <c r="H7" s="1307"/>
      <c r="I7" s="1308"/>
      <c r="J7" s="493"/>
      <c r="K7" s="568" t="str">
        <f>IF(OR($C6='Lists and Arrays'!$S$5,$C6='Lists and Arrays'!$S$6),"yes","no")</f>
        <v>no</v>
      </c>
      <c r="L7" s="568"/>
      <c r="M7" s="569"/>
      <c r="N7" s="570"/>
      <c r="O7" s="569"/>
      <c r="P7" s="569"/>
      <c r="Q7" s="569"/>
      <c r="R7" s="568"/>
    </row>
    <row r="8" spans="1:18" hidden="1" x14ac:dyDescent="0.3">
      <c r="A8" s="1344" t="s">
        <v>274</v>
      </c>
      <c r="B8" s="1344"/>
      <c r="C8" s="1345">
        <f>IF(C6&lt;=1,0,C6*3/100)</f>
        <v>0</v>
      </c>
      <c r="D8" s="1346"/>
      <c r="E8" s="495"/>
      <c r="F8" s="1347" t="s">
        <v>274</v>
      </c>
      <c r="G8" s="1348"/>
      <c r="H8" s="1345" t="str">
        <f>IF(OR($C6='Lists and Arrays'!$S$5,$C6='Lists and Arrays'!$S$6),0,IF(H6="","",IF(AND(H6&lt;=20,H6&gt;=0),0.5,IF(AND(H6&gt;=21,H6&lt;=30),0.4,IF(AND(H6&lt;=40,H6&gt;=31),0.3,IF(AND(H6&lt;=50,H6&gt;=41),0.2,IF(AND(H6&lt;=100,H6&gt;=51),0.1,IF(OR(H6&gt;100,H6="perpetual"),0,0))))))))</f>
        <v/>
      </c>
      <c r="I8" s="1349"/>
      <c r="J8" s="493"/>
      <c r="K8" s="568"/>
      <c r="L8" s="568"/>
      <c r="M8" s="569"/>
      <c r="N8" s="570"/>
      <c r="O8" s="569"/>
      <c r="P8" s="569"/>
      <c r="Q8" s="569"/>
      <c r="R8" s="568"/>
    </row>
    <row r="9" spans="1:18" x14ac:dyDescent="0.3">
      <c r="A9" s="1143" t="s">
        <v>301</v>
      </c>
      <c r="B9" s="1143"/>
      <c r="C9" s="1350" t="str">
        <f>IF(OR(A6="",'Wetlands Parts I-II'!$M$23=""),"",A6*'Wetlands Parts I-II'!$M$23)</f>
        <v/>
      </c>
      <c r="D9" s="1351"/>
      <c r="E9" s="495"/>
      <c r="F9" s="1352" t="s">
        <v>415</v>
      </c>
      <c r="G9" s="1353"/>
      <c r="H9" s="1335" t="str">
        <f>IF(OR($C6='Lists and Arrays'!$S$5,$C6='Lists and Arrays'!$S$6),0,IF(H6="","",H8*'Wetlands Parts I-II'!$M$23))</f>
        <v/>
      </c>
      <c r="I9" s="1336"/>
      <c r="J9" s="493"/>
      <c r="K9" s="568"/>
      <c r="L9" s="566"/>
      <c r="M9" s="569"/>
      <c r="N9" s="570"/>
      <c r="O9" s="569"/>
      <c r="P9" s="569"/>
      <c r="Q9" s="569"/>
      <c r="R9" s="568"/>
    </row>
    <row r="10" spans="1:18" x14ac:dyDescent="0.3">
      <c r="A10" s="493"/>
      <c r="B10" s="493"/>
      <c r="C10" s="493"/>
      <c r="D10" s="493"/>
      <c r="E10" s="495"/>
      <c r="F10" s="496"/>
      <c r="G10" s="496"/>
      <c r="H10" s="497"/>
      <c r="I10" s="497"/>
      <c r="J10" s="493"/>
      <c r="K10" s="568"/>
      <c r="L10" s="568"/>
      <c r="M10" s="568"/>
      <c r="N10" s="570"/>
      <c r="O10" s="569"/>
      <c r="P10" s="569"/>
      <c r="Q10" s="569"/>
      <c r="R10" s="568"/>
    </row>
    <row r="11" spans="1:18" x14ac:dyDescent="0.3">
      <c r="A11" s="1313" t="s">
        <v>6</v>
      </c>
      <c r="B11" s="1313"/>
      <c r="C11" s="1313"/>
      <c r="D11" s="1313"/>
      <c r="E11" s="495"/>
      <c r="F11" s="495"/>
      <c r="G11" s="498"/>
      <c r="H11" s="498"/>
      <c r="I11" s="498"/>
      <c r="J11" s="493"/>
      <c r="K11" s="568"/>
      <c r="L11" s="568"/>
      <c r="M11" s="568"/>
      <c r="N11" s="568"/>
      <c r="O11" s="568"/>
      <c r="P11" s="568"/>
      <c r="Q11" s="566"/>
      <c r="R11" s="568"/>
    </row>
    <row r="12" spans="1:18" x14ac:dyDescent="0.3">
      <c r="A12" s="1314"/>
      <c r="B12" s="1314"/>
      <c r="C12" s="1314"/>
      <c r="D12" s="1314"/>
      <c r="E12" s="495"/>
      <c r="F12" s="498"/>
      <c r="G12" s="498"/>
      <c r="H12" s="498"/>
      <c r="I12" s="498"/>
      <c r="J12" s="493"/>
      <c r="K12" s="568"/>
      <c r="L12" s="568"/>
      <c r="M12" s="568"/>
      <c r="N12" s="573"/>
      <c r="O12" s="568"/>
      <c r="P12" s="568"/>
      <c r="Q12" s="573"/>
      <c r="R12" s="573"/>
    </row>
    <row r="13" spans="1:18" x14ac:dyDescent="0.3">
      <c r="A13" s="1315" t="s">
        <v>48</v>
      </c>
      <c r="B13" s="1316"/>
      <c r="C13" s="1316"/>
      <c r="D13" s="1317"/>
      <c r="E13" s="493"/>
      <c r="F13" s="499"/>
      <c r="G13" s="499"/>
      <c r="H13" s="499"/>
      <c r="I13" s="499"/>
      <c r="J13" s="493"/>
      <c r="K13" s="568"/>
      <c r="L13" s="573"/>
      <c r="M13" s="574"/>
      <c r="N13" s="568"/>
      <c r="O13" s="568"/>
      <c r="P13" s="568"/>
      <c r="Q13" s="573"/>
      <c r="R13" s="573"/>
    </row>
    <row r="14" spans="1:18" x14ac:dyDescent="0.3">
      <c r="A14" s="1318"/>
      <c r="B14" s="1316"/>
      <c r="C14" s="1316"/>
      <c r="D14" s="1317"/>
      <c r="E14" s="493"/>
      <c r="F14" s="499"/>
      <c r="G14" s="499"/>
      <c r="H14" s="499"/>
      <c r="I14" s="499"/>
      <c r="J14" s="505"/>
      <c r="K14" s="568"/>
      <c r="L14" s="573"/>
      <c r="M14" s="575"/>
      <c r="N14" s="568"/>
      <c r="O14" s="568"/>
      <c r="P14" s="568"/>
      <c r="Q14" s="568"/>
      <c r="R14" s="568"/>
    </row>
    <row r="15" spans="1:18" x14ac:dyDescent="0.3">
      <c r="A15" s="1319"/>
      <c r="B15" s="1320"/>
      <c r="C15" s="1320"/>
      <c r="D15" s="1321"/>
      <c r="E15" s="493"/>
      <c r="F15" s="499"/>
      <c r="G15" s="499"/>
      <c r="H15" s="499"/>
      <c r="I15" s="499"/>
      <c r="J15" s="505"/>
      <c r="K15" s="568"/>
      <c r="L15" s="573"/>
      <c r="M15" s="575"/>
      <c r="N15" s="568"/>
      <c r="O15" s="568"/>
      <c r="P15" s="568"/>
      <c r="Q15" s="568"/>
      <c r="R15" s="568"/>
    </row>
    <row r="16" spans="1:18" x14ac:dyDescent="0.3">
      <c r="A16" s="1293" t="s">
        <v>14</v>
      </c>
      <c r="B16" s="1294"/>
      <c r="C16" s="1322" t="s">
        <v>18</v>
      </c>
      <c r="D16" s="1323"/>
      <c r="E16" s="493"/>
      <c r="F16" s="500"/>
      <c r="G16" s="495"/>
      <c r="H16" s="495"/>
      <c r="I16" s="495"/>
      <c r="J16" s="576"/>
      <c r="K16" s="573"/>
      <c r="L16" s="573"/>
      <c r="M16" s="575"/>
      <c r="N16" s="568"/>
      <c r="O16" s="568"/>
      <c r="P16" s="568"/>
      <c r="Q16" s="568"/>
      <c r="R16" s="568"/>
    </row>
    <row r="17" spans="1:18" x14ac:dyDescent="0.3">
      <c r="A17" s="1295"/>
      <c r="B17" s="1296"/>
      <c r="C17" s="1324"/>
      <c r="D17" s="1290"/>
      <c r="E17" s="493"/>
      <c r="F17" s="501"/>
      <c r="G17" s="494"/>
      <c r="H17" s="502"/>
      <c r="I17" s="503"/>
      <c r="J17" s="577"/>
      <c r="K17" s="568"/>
      <c r="L17" s="568"/>
      <c r="M17" s="568"/>
      <c r="N17" s="568"/>
      <c r="O17" s="568"/>
      <c r="P17" s="568"/>
      <c r="Q17" s="568"/>
      <c r="R17" s="568"/>
    </row>
    <row r="18" spans="1:18" x14ac:dyDescent="0.3">
      <c r="A18" s="1325" t="str">
        <f>IF(OR($C6='Lists and Arrays'!$S$5,$C6='Lists and Arrays'!$S$6),0,IF(C18="","",VLOOKUP(C18,'Lists and Arrays'!$S$30:$T$61,2,0)))</f>
        <v/>
      </c>
      <c r="B18" s="1326"/>
      <c r="C18" s="1327"/>
      <c r="D18" s="1328"/>
      <c r="E18" s="493"/>
      <c r="F18" s="501"/>
      <c r="G18" s="494"/>
      <c r="H18" s="503"/>
      <c r="I18" s="503"/>
      <c r="J18" s="577"/>
      <c r="K18" s="568"/>
      <c r="L18" s="568"/>
      <c r="M18" s="568"/>
      <c r="N18" s="568"/>
      <c r="O18" s="568"/>
      <c r="P18" s="568"/>
      <c r="Q18" s="568"/>
      <c r="R18" s="568"/>
    </row>
    <row r="19" spans="1:18" x14ac:dyDescent="0.3">
      <c r="A19" s="1280"/>
      <c r="B19" s="1281"/>
      <c r="C19" s="1329"/>
      <c r="D19" s="1330"/>
      <c r="E19" s="493"/>
      <c r="F19" s="504"/>
      <c r="G19" s="494"/>
      <c r="H19" s="503"/>
      <c r="I19" s="503"/>
      <c r="J19" s="577"/>
      <c r="K19" s="568"/>
      <c r="L19" s="568"/>
      <c r="M19" s="568"/>
      <c r="N19" s="568"/>
      <c r="O19" s="568"/>
      <c r="P19" s="568"/>
      <c r="Q19" s="568"/>
      <c r="R19" s="568"/>
    </row>
    <row r="20" spans="1:18" x14ac:dyDescent="0.3">
      <c r="A20" s="1333" t="s">
        <v>415</v>
      </c>
      <c r="B20" s="1334"/>
      <c r="C20" s="1335" t="str">
        <f>IF(A18="","",A18*'Wetlands Parts I-II'!$M$23)</f>
        <v/>
      </c>
      <c r="D20" s="1336"/>
      <c r="E20" s="1311"/>
      <c r="F20" s="1312"/>
      <c r="G20" s="1312"/>
      <c r="H20" s="1312"/>
      <c r="I20" s="1312"/>
      <c r="J20" s="577"/>
      <c r="K20" s="568"/>
      <c r="L20" s="568"/>
      <c r="M20" s="568"/>
      <c r="N20" s="578"/>
      <c r="O20" s="568"/>
      <c r="P20" s="568"/>
      <c r="Q20" s="568"/>
      <c r="R20" s="568"/>
    </row>
    <row r="21" spans="1:18" x14ac:dyDescent="0.3">
      <c r="A21" s="493"/>
      <c r="B21" s="493"/>
      <c r="C21" s="493"/>
      <c r="D21" s="493"/>
      <c r="E21" s="493"/>
      <c r="F21" s="505"/>
      <c r="G21" s="506"/>
      <c r="H21" s="493"/>
      <c r="I21" s="493"/>
      <c r="J21" s="493"/>
      <c r="K21" s="568"/>
      <c r="L21" s="568"/>
      <c r="M21" s="568"/>
      <c r="N21" s="568"/>
      <c r="O21" s="568"/>
      <c r="P21" s="568"/>
      <c r="Q21" s="568"/>
      <c r="R21" s="568"/>
    </row>
    <row r="22" spans="1:18" x14ac:dyDescent="0.3">
      <c r="A22" s="1337" t="s">
        <v>523</v>
      </c>
      <c r="B22" s="1338"/>
      <c r="C22" s="1338"/>
      <c r="D22" s="1338"/>
      <c r="E22" s="1338"/>
      <c r="F22" s="1338"/>
      <c r="G22" s="1338"/>
      <c r="H22" s="1338"/>
      <c r="I22" s="1339"/>
      <c r="J22" s="493"/>
      <c r="K22" s="573"/>
      <c r="L22" s="568"/>
      <c r="M22" s="568"/>
      <c r="N22" s="568"/>
      <c r="O22" s="568"/>
      <c r="P22" s="568"/>
      <c r="Q22" s="568"/>
      <c r="R22" s="568"/>
    </row>
    <row r="23" spans="1:18" ht="41.4" x14ac:dyDescent="0.3">
      <c r="A23" s="1340" t="s">
        <v>416</v>
      </c>
      <c r="B23" s="1341"/>
      <c r="C23" s="1341"/>
      <c r="D23" s="1341"/>
      <c r="E23" s="1342"/>
      <c r="F23" s="1340" t="s">
        <v>417</v>
      </c>
      <c r="G23" s="1343"/>
      <c r="H23" s="558" t="s">
        <v>521</v>
      </c>
      <c r="I23" s="559" t="s">
        <v>51</v>
      </c>
      <c r="J23" s="493"/>
      <c r="K23" s="568"/>
      <c r="L23" s="568"/>
      <c r="M23" s="568"/>
      <c r="N23" s="568"/>
      <c r="O23" s="568"/>
      <c r="P23" s="568"/>
      <c r="Q23" s="568"/>
      <c r="R23" s="568"/>
    </row>
    <row r="24" spans="1:18" x14ac:dyDescent="0.3">
      <c r="A24" s="1309">
        <f>'Wetlands Parts I-II'!M23</f>
        <v>8.3099999999999987</v>
      </c>
      <c r="B24" s="1331"/>
      <c r="C24" s="1331"/>
      <c r="D24" s="1331"/>
      <c r="E24" s="1332"/>
      <c r="F24" s="1309" t="str">
        <f>IF(OR(C9="",C20="",H9=""),"",(C9+C20+H9+A24))</f>
        <v/>
      </c>
      <c r="G24" s="1310"/>
      <c r="H24" s="665">
        <f>'Wetland Part III-Credits'!D18</f>
        <v>10.181075</v>
      </c>
      <c r="I24" s="488" t="str">
        <f>IF(OR(F24="",H24=""),"",H24-F24)</f>
        <v/>
      </c>
      <c r="J24" s="493"/>
      <c r="K24" s="568"/>
      <c r="L24" s="568"/>
      <c r="M24" s="568"/>
      <c r="N24" s="568"/>
      <c r="O24" s="568"/>
      <c r="P24" s="568"/>
      <c r="Q24" s="568"/>
      <c r="R24" s="579"/>
    </row>
    <row r="25" spans="1:18" x14ac:dyDescent="0.3">
      <c r="A25" s="503"/>
      <c r="B25" s="507"/>
      <c r="C25" s="501"/>
      <c r="D25" s="495"/>
      <c r="E25" s="508"/>
      <c r="F25" s="509"/>
      <c r="G25" s="510"/>
      <c r="H25" s="511"/>
      <c r="I25" s="512"/>
      <c r="J25" s="493"/>
      <c r="K25" s="568"/>
      <c r="L25" s="568"/>
      <c r="M25" s="568"/>
      <c r="N25" s="568"/>
      <c r="O25" s="568"/>
      <c r="P25" s="568"/>
      <c r="Q25" s="568"/>
      <c r="R25" s="579"/>
    </row>
    <row r="26" spans="1:18" ht="18" hidden="1" x14ac:dyDescent="0.35">
      <c r="A26" s="580"/>
      <c r="B26" s="580"/>
      <c r="C26" s="581"/>
      <c r="D26" s="582"/>
      <c r="E26" s="582"/>
      <c r="F26" s="583"/>
      <c r="G26" s="583"/>
      <c r="H26" s="509"/>
      <c r="I26" s="584"/>
      <c r="J26" s="493"/>
      <c r="K26" s="568"/>
      <c r="L26" s="568"/>
      <c r="M26" s="568"/>
      <c r="N26" s="568"/>
      <c r="O26" s="568"/>
      <c r="P26" s="568"/>
      <c r="Q26" s="568"/>
      <c r="R26" s="579"/>
    </row>
    <row r="27" spans="1:18" hidden="1" x14ac:dyDescent="0.3">
      <c r="A27" s="493"/>
      <c r="B27" s="493"/>
      <c r="C27" s="493"/>
      <c r="D27" s="493"/>
      <c r="E27" s="493"/>
      <c r="F27" s="523"/>
      <c r="G27" s="523"/>
      <c r="H27" s="584"/>
      <c r="I27" s="493"/>
      <c r="J27" s="493"/>
      <c r="K27" s="568"/>
      <c r="L27" s="568"/>
      <c r="M27" s="568"/>
      <c r="N27" s="568"/>
      <c r="O27" s="568"/>
      <c r="P27" s="568"/>
      <c r="Q27" s="568"/>
      <c r="R27" s="568"/>
    </row>
    <row r="28" spans="1:18" hidden="1" x14ac:dyDescent="0.3">
      <c r="A28" s="493"/>
      <c r="B28" s="493"/>
      <c r="C28" s="493"/>
      <c r="D28" s="493"/>
      <c r="E28" s="493"/>
      <c r="F28" s="493"/>
      <c r="G28" s="493"/>
      <c r="H28" s="493"/>
      <c r="I28" s="493"/>
      <c r="J28" s="493"/>
      <c r="K28" s="568"/>
      <c r="L28" s="568"/>
      <c r="M28" s="568"/>
      <c r="N28" s="568"/>
      <c r="O28" s="568"/>
      <c r="P28" s="568"/>
      <c r="Q28" s="568"/>
      <c r="R28" s="568"/>
    </row>
    <row r="29" spans="1:18" hidden="1" x14ac:dyDescent="0.3">
      <c r="A29" s="493"/>
      <c r="B29" s="493"/>
      <c r="C29" s="493"/>
      <c r="D29" s="493"/>
      <c r="E29" s="493"/>
      <c r="F29" s="493"/>
      <c r="G29" s="493"/>
      <c r="H29" s="493"/>
      <c r="I29" s="493"/>
      <c r="J29" s="493"/>
      <c r="K29" s="568"/>
      <c r="L29" s="568"/>
      <c r="M29" s="568"/>
      <c r="N29" s="568"/>
      <c r="O29" s="568"/>
      <c r="P29" s="568"/>
      <c r="Q29" s="568"/>
      <c r="R29" s="568"/>
    </row>
    <row r="30" spans="1:18" hidden="1" x14ac:dyDescent="0.3">
      <c r="A30" s="493"/>
      <c r="B30" s="493"/>
      <c r="C30" s="493"/>
      <c r="D30" s="493"/>
      <c r="E30" s="493"/>
      <c r="F30" s="493"/>
      <c r="G30" s="493"/>
      <c r="H30" s="493"/>
      <c r="I30" s="493"/>
      <c r="J30" s="493"/>
      <c r="K30" s="568"/>
      <c r="L30" s="568"/>
      <c r="M30" s="568"/>
      <c r="N30" s="568"/>
      <c r="O30" s="568"/>
      <c r="P30" s="568"/>
      <c r="Q30" s="568"/>
      <c r="R30" s="568"/>
    </row>
    <row r="31" spans="1:18" hidden="1" x14ac:dyDescent="0.3">
      <c r="A31" s="503"/>
      <c r="B31" s="503"/>
      <c r="C31" s="503"/>
      <c r="D31" s="503"/>
      <c r="E31" s="503"/>
      <c r="F31" s="503"/>
      <c r="G31" s="503"/>
      <c r="H31" s="503"/>
      <c r="I31" s="503"/>
      <c r="J31" s="503"/>
    </row>
    <row r="32" spans="1:18" hidden="1" x14ac:dyDescent="0.3">
      <c r="A32" s="503"/>
      <c r="B32" s="503"/>
      <c r="C32" s="503"/>
      <c r="D32" s="503"/>
      <c r="E32" s="503"/>
      <c r="F32" s="503"/>
      <c r="G32" s="503"/>
      <c r="H32" s="503"/>
      <c r="I32" s="503"/>
      <c r="J32" s="503"/>
    </row>
    <row r="33" spans="1:10" hidden="1" x14ac:dyDescent="0.3">
      <c r="A33" s="503"/>
      <c r="B33" s="503"/>
      <c r="C33" s="503"/>
      <c r="D33" s="503"/>
      <c r="E33" s="503"/>
      <c r="F33" s="503"/>
      <c r="G33" s="503"/>
      <c r="H33" s="503"/>
      <c r="I33" s="503"/>
      <c r="J33" s="503"/>
    </row>
  </sheetData>
  <sheetProtection algorithmName="SHA-512" hashValue="+FCIEp3LqyTljlxl4MK0ADsL4N/Fa/TWP+1seWFbTWNSWRuTrNt2XnM2RRPi2sH0E92wKlKZoKOcwS/UVGW5Ng==" saltValue="pEaNn0PkryKCszUB+4Dinw==" spinCount="100000" sheet="1"/>
  <mergeCells count="34">
    <mergeCell ref="A8:B8"/>
    <mergeCell ref="C8:D8"/>
    <mergeCell ref="F8:G8"/>
    <mergeCell ref="H8:I8"/>
    <mergeCell ref="A9:B9"/>
    <mergeCell ref="C9:D9"/>
    <mergeCell ref="F9:G9"/>
    <mergeCell ref="H9:I9"/>
    <mergeCell ref="F24:G24"/>
    <mergeCell ref="E20:I20"/>
    <mergeCell ref="A11:D12"/>
    <mergeCell ref="A13:D15"/>
    <mergeCell ref="A16:B17"/>
    <mergeCell ref="C16:D17"/>
    <mergeCell ref="A18:B19"/>
    <mergeCell ref="C18:D19"/>
    <mergeCell ref="A24:E24"/>
    <mergeCell ref="A20:B20"/>
    <mergeCell ref="C20:D20"/>
    <mergeCell ref="A22:I22"/>
    <mergeCell ref="A23:E23"/>
    <mergeCell ref="F23:G23"/>
    <mergeCell ref="A1:I2"/>
    <mergeCell ref="A3:D3"/>
    <mergeCell ref="F3:I3"/>
    <mergeCell ref="A6:B7"/>
    <mergeCell ref="C6:D7"/>
    <mergeCell ref="A4:D4"/>
    <mergeCell ref="C5:D5"/>
    <mergeCell ref="A5:B5"/>
    <mergeCell ref="F4:G5"/>
    <mergeCell ref="H4:I5"/>
    <mergeCell ref="F6:G7"/>
    <mergeCell ref="H6:I7"/>
  </mergeCells>
  <conditionalFormatting sqref="I24">
    <cfRule type="cellIs" dxfId="5" priority="5" operator="greaterThanOrEqual">
      <formula>0</formula>
    </cfRule>
    <cfRule type="cellIs" dxfId="4" priority="6" operator="lessThan">
      <formula>0</formula>
    </cfRule>
  </conditionalFormatting>
  <conditionalFormatting sqref="C18">
    <cfRule type="expression" dxfId="3" priority="4">
      <formula>$N$12="Not Used"</formula>
    </cfRule>
  </conditionalFormatting>
  <conditionalFormatting sqref="A18">
    <cfRule type="expression" dxfId="2" priority="3">
      <formula>$N$12="Not Used"</formula>
    </cfRule>
  </conditionalFormatting>
  <conditionalFormatting sqref="A11:D20">
    <cfRule type="expression" dxfId="1" priority="2">
      <formula>$K$7="yes"</formula>
    </cfRule>
  </conditionalFormatting>
  <conditionalFormatting sqref="F3:I9">
    <cfRule type="expression" dxfId="0" priority="1">
      <formula>$K$7="yes"</formula>
    </cfRule>
  </conditionalFormatting>
  <dataValidations disablePrompts="1" count="5">
    <dataValidation type="list" allowBlank="1" showInputMessage="1" showErrorMessage="1" sqref="D25" xr:uid="{43A433A8-A20A-4382-B71F-B6BB646C97BC}">
      <formula1>$K$24:$K$26</formula1>
    </dataValidation>
    <dataValidation type="list" allowBlank="1" showInputMessage="1" showErrorMessage="1" sqref="C6" xr:uid="{D728E7EC-79D0-45F7-BF6D-442CF327920B}">
      <formula1>TempLossConstruction</formula1>
    </dataValidation>
    <dataValidation type="list" allowBlank="1" showInputMessage="1" showErrorMessage="1" sqref="C18" xr:uid="{E8A704D4-DB46-4DFE-B9FF-7A05EE07BD9D}">
      <formula1>TempLossMaturity</formula1>
    </dataValidation>
    <dataValidation type="whole" operator="greaterThanOrEqual" allowBlank="1" showInputMessage="1" showErrorMessage="1" error="Please ener a positive whole number." sqref="H6:I7" xr:uid="{EA45195A-022D-4680-A9AF-C4721C257562}">
      <formula1>0</formula1>
    </dataValidation>
    <dataValidation type="list" allowBlank="1" showInputMessage="1" showErrorMessage="1" errorTitle="Mitigation Type Error" error="Enter a value from the list." sqref="H17:I19" xr:uid="{53CEC391-9134-4A1C-9855-04EB3FF1D9EC}">
      <formula1>$K$17:$K$19</formula1>
    </dataValidation>
  </dataValidations>
  <pageMargins left="0.7" right="0.7" top="0.75" bottom="0.75" header="0.3" footer="0.3"/>
  <pageSetup orientation="landscape" r:id="rId1"/>
  <headerFooter>
    <oddHeader xml:space="preserve">&amp;C&amp;"-,Bold"Wetlands Parts IV-V&amp;"-,Regular"
&amp;9West Virginia Stream and Wetland Valuation Metric (SWVM) 7-30-24, Adapted from Version 12-02-2022 wetlands working draft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B2"/>
  <sheetViews>
    <sheetView workbookViewId="0"/>
  </sheetViews>
  <sheetFormatPr defaultRowHeight="13.2" x14ac:dyDescent="0.25"/>
  <sheetData>
    <row r="1" spans="1:2" x14ac:dyDescent="0.25">
      <c r="A1">
        <v>5564</v>
      </c>
      <c r="B1" s="57" t="s">
        <v>373</v>
      </c>
    </row>
    <row r="2" spans="1:2" x14ac:dyDescent="0.25">
      <c r="A2" s="57" t="s">
        <v>374</v>
      </c>
      <c r="B2" s="57"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1A89-6666-476C-AF5A-4092CDA06383}">
  <sheetPr>
    <pageSetUpPr fitToPage="1"/>
  </sheetPr>
  <dimension ref="A1:Q253"/>
  <sheetViews>
    <sheetView tabSelected="1" view="pageLayout" topLeftCell="A28" zoomScaleNormal="120" workbookViewId="0">
      <selection activeCell="B39" sqref="B39:P39"/>
    </sheetView>
  </sheetViews>
  <sheetFormatPr defaultColWidth="0" defaultRowHeight="0" customHeight="1" zeroHeight="1" x14ac:dyDescent="0.25"/>
  <cols>
    <col min="1" max="1" width="0.44140625" style="398" customWidth="1"/>
    <col min="2" max="9" width="7.44140625" style="398" customWidth="1"/>
    <col min="10" max="10" width="6.21875" style="398" customWidth="1"/>
    <col min="11" max="16" width="7.44140625" style="398" customWidth="1"/>
    <col min="17" max="17" width="0.44140625" style="397" customWidth="1"/>
    <col min="18" max="16384" width="9.21875" style="398" hidden="1"/>
  </cols>
  <sheetData>
    <row r="1" spans="1:17" ht="3.75" customHeight="1" thickBot="1" x14ac:dyDescent="0.3">
      <c r="A1" s="397"/>
      <c r="B1" s="397"/>
      <c r="C1" s="397"/>
      <c r="D1" s="397"/>
      <c r="E1" s="397"/>
      <c r="F1" s="397"/>
      <c r="G1" s="397"/>
      <c r="H1" s="397"/>
      <c r="I1" s="397"/>
      <c r="J1" s="397"/>
      <c r="K1" s="397"/>
      <c r="L1" s="397"/>
      <c r="M1" s="397"/>
      <c r="N1" s="397"/>
      <c r="O1" s="397"/>
      <c r="P1" s="397"/>
    </row>
    <row r="2" spans="1:17" ht="57.6" customHeight="1" thickBot="1" x14ac:dyDescent="0.3">
      <c r="A2" s="522"/>
      <c r="B2" s="698" t="s">
        <v>573</v>
      </c>
      <c r="C2" s="699"/>
      <c r="D2" s="699"/>
      <c r="E2" s="699"/>
      <c r="F2" s="699"/>
      <c r="G2" s="699"/>
      <c r="H2" s="699"/>
      <c r="I2" s="699"/>
      <c r="J2" s="699"/>
      <c r="K2" s="699"/>
      <c r="L2" s="699"/>
      <c r="M2" s="699"/>
      <c r="N2" s="699"/>
      <c r="O2" s="699"/>
      <c r="P2" s="700"/>
      <c r="Q2" s="306"/>
    </row>
    <row r="3" spans="1:17" ht="55.35" customHeight="1" x14ac:dyDescent="0.25">
      <c r="A3" s="522"/>
      <c r="B3" s="701" t="s">
        <v>507</v>
      </c>
      <c r="C3" s="702"/>
      <c r="D3" s="702"/>
      <c r="E3" s="702"/>
      <c r="F3" s="702"/>
      <c r="G3" s="702"/>
      <c r="H3" s="702"/>
      <c r="I3" s="702"/>
      <c r="J3" s="702"/>
      <c r="K3" s="702"/>
      <c r="L3" s="702"/>
      <c r="M3" s="702"/>
      <c r="N3" s="702"/>
      <c r="O3" s="702"/>
      <c r="P3" s="703"/>
      <c r="Q3" s="306"/>
    </row>
    <row r="4" spans="1:17" ht="14.25" hidden="1" customHeight="1" x14ac:dyDescent="0.35">
      <c r="A4" s="522"/>
      <c r="B4" s="704" t="s">
        <v>114</v>
      </c>
      <c r="C4" s="705"/>
      <c r="D4" s="705"/>
      <c r="E4" s="705"/>
      <c r="F4" s="705"/>
      <c r="G4" s="705"/>
      <c r="H4" s="705"/>
      <c r="I4" s="705"/>
      <c r="J4" s="705"/>
      <c r="K4" s="705"/>
      <c r="L4" s="705"/>
      <c r="M4" s="705"/>
      <c r="N4" s="705"/>
      <c r="O4" s="705"/>
      <c r="P4" s="706"/>
      <c r="Q4" s="306"/>
    </row>
    <row r="5" spans="1:17" s="294" customFormat="1" ht="24.6" customHeight="1" thickBot="1" x14ac:dyDescent="0.3">
      <c r="A5" s="399"/>
      <c r="B5" s="707" t="s">
        <v>341</v>
      </c>
      <c r="C5" s="708"/>
      <c r="D5" s="708"/>
      <c r="E5" s="708"/>
      <c r="F5" s="708"/>
      <c r="G5" s="708"/>
      <c r="H5" s="708"/>
      <c r="I5" s="708"/>
      <c r="J5" s="708"/>
      <c r="K5" s="708"/>
      <c r="L5" s="708"/>
      <c r="M5" s="708"/>
      <c r="N5" s="708"/>
      <c r="O5" s="708"/>
      <c r="P5" s="709"/>
      <c r="Q5" s="295"/>
    </row>
    <row r="6" spans="1:17" s="296" customFormat="1" ht="17.25" customHeight="1" x14ac:dyDescent="0.25">
      <c r="A6" s="297"/>
      <c r="B6" s="710" t="s">
        <v>340</v>
      </c>
      <c r="C6" s="711"/>
      <c r="D6" s="711"/>
      <c r="E6" s="711"/>
      <c r="F6" s="711"/>
      <c r="G6" s="711"/>
      <c r="H6" s="711"/>
      <c r="I6" s="711"/>
      <c r="J6" s="711"/>
      <c r="K6" s="711"/>
      <c r="L6" s="711"/>
      <c r="M6" s="711"/>
      <c r="N6" s="711"/>
      <c r="O6" s="711"/>
      <c r="P6" s="712"/>
      <c r="Q6" s="297"/>
    </row>
    <row r="7" spans="1:17" s="296" customFormat="1" ht="17.100000000000001" customHeight="1" x14ac:dyDescent="0.25">
      <c r="A7" s="297"/>
      <c r="B7" s="692" t="s">
        <v>549</v>
      </c>
      <c r="C7" s="693"/>
      <c r="D7" s="693"/>
      <c r="E7" s="693"/>
      <c r="F7" s="693"/>
      <c r="G7" s="693"/>
      <c r="H7" s="693"/>
      <c r="I7" s="693"/>
      <c r="J7" s="693"/>
      <c r="K7" s="693"/>
      <c r="L7" s="693"/>
      <c r="M7" s="693"/>
      <c r="N7" s="693"/>
      <c r="O7" s="693"/>
      <c r="P7" s="694"/>
      <c r="Q7" s="297"/>
    </row>
    <row r="8" spans="1:17" s="296" customFormat="1" ht="17.100000000000001" customHeight="1" x14ac:dyDescent="0.25">
      <c r="A8" s="297"/>
      <c r="B8" s="692" t="s">
        <v>356</v>
      </c>
      <c r="C8" s="693"/>
      <c r="D8" s="693"/>
      <c r="E8" s="693"/>
      <c r="F8" s="693"/>
      <c r="G8" s="693"/>
      <c r="H8" s="693"/>
      <c r="I8" s="693"/>
      <c r="J8" s="693"/>
      <c r="K8" s="693"/>
      <c r="L8" s="693"/>
      <c r="M8" s="693"/>
      <c r="N8" s="693"/>
      <c r="O8" s="693"/>
      <c r="P8" s="694"/>
      <c r="Q8" s="297"/>
    </row>
    <row r="9" spans="1:17" s="296" customFormat="1" ht="17.100000000000001" customHeight="1" x14ac:dyDescent="0.25">
      <c r="A9" s="297"/>
      <c r="B9" s="692" t="s">
        <v>357</v>
      </c>
      <c r="C9" s="693"/>
      <c r="D9" s="693"/>
      <c r="E9" s="693"/>
      <c r="F9" s="693"/>
      <c r="G9" s="693"/>
      <c r="H9" s="693"/>
      <c r="I9" s="693"/>
      <c r="J9" s="693"/>
      <c r="K9" s="693"/>
      <c r="L9" s="693"/>
      <c r="M9" s="693"/>
      <c r="N9" s="693"/>
      <c r="O9" s="693"/>
      <c r="P9" s="694"/>
      <c r="Q9" s="297"/>
    </row>
    <row r="10" spans="1:17" s="296" customFormat="1" ht="17.100000000000001" customHeight="1" x14ac:dyDescent="0.25">
      <c r="A10" s="297"/>
      <c r="B10" s="692" t="s">
        <v>358</v>
      </c>
      <c r="C10" s="693"/>
      <c r="D10" s="693"/>
      <c r="E10" s="693"/>
      <c r="F10" s="693"/>
      <c r="G10" s="693"/>
      <c r="H10" s="693"/>
      <c r="I10" s="693"/>
      <c r="J10" s="693"/>
      <c r="K10" s="693"/>
      <c r="L10" s="693"/>
      <c r="M10" s="693"/>
      <c r="N10" s="693"/>
      <c r="O10" s="693"/>
      <c r="P10" s="694"/>
      <c r="Q10" s="297"/>
    </row>
    <row r="11" spans="1:17" s="296" customFormat="1" ht="17.100000000000001" customHeight="1" x14ac:dyDescent="0.25">
      <c r="A11" s="297"/>
      <c r="B11" s="692" t="s">
        <v>359</v>
      </c>
      <c r="C11" s="693"/>
      <c r="D11" s="693"/>
      <c r="E11" s="693"/>
      <c r="F11" s="693"/>
      <c r="G11" s="693"/>
      <c r="H11" s="693"/>
      <c r="I11" s="693"/>
      <c r="J11" s="693"/>
      <c r="K11" s="693"/>
      <c r="L11" s="693"/>
      <c r="M11" s="693"/>
      <c r="N11" s="693"/>
      <c r="O11" s="693"/>
      <c r="P11" s="694"/>
      <c r="Q11" s="297"/>
    </row>
    <row r="12" spans="1:17" s="296" customFormat="1" ht="27" customHeight="1" x14ac:dyDescent="0.25">
      <c r="A12" s="297"/>
      <c r="B12" s="695" t="s">
        <v>360</v>
      </c>
      <c r="C12" s="696"/>
      <c r="D12" s="696"/>
      <c r="E12" s="696"/>
      <c r="F12" s="696"/>
      <c r="G12" s="696"/>
      <c r="H12" s="696"/>
      <c r="I12" s="696"/>
      <c r="J12" s="696"/>
      <c r="K12" s="696"/>
      <c r="L12" s="696"/>
      <c r="M12" s="696"/>
      <c r="N12" s="696"/>
      <c r="O12" s="696"/>
      <c r="P12" s="697"/>
      <c r="Q12" s="297"/>
    </row>
    <row r="13" spans="1:17" s="296" customFormat="1" ht="17.100000000000001" customHeight="1" x14ac:dyDescent="0.25">
      <c r="A13" s="297"/>
      <c r="B13" s="692" t="s">
        <v>361</v>
      </c>
      <c r="C13" s="693"/>
      <c r="D13" s="693"/>
      <c r="E13" s="693"/>
      <c r="F13" s="693"/>
      <c r="G13" s="693"/>
      <c r="H13" s="693"/>
      <c r="I13" s="693"/>
      <c r="J13" s="693"/>
      <c r="K13" s="693"/>
      <c r="L13" s="693"/>
      <c r="M13" s="693"/>
      <c r="N13" s="693"/>
      <c r="O13" s="693"/>
      <c r="P13" s="694"/>
      <c r="Q13" s="297"/>
    </row>
    <row r="14" spans="1:17" s="296" customFormat="1" ht="37.799999999999997" customHeight="1" x14ac:dyDescent="0.25">
      <c r="A14" s="297"/>
      <c r="B14" s="695" t="s">
        <v>362</v>
      </c>
      <c r="C14" s="696"/>
      <c r="D14" s="696"/>
      <c r="E14" s="696"/>
      <c r="F14" s="696"/>
      <c r="G14" s="696"/>
      <c r="H14" s="696"/>
      <c r="I14" s="696"/>
      <c r="J14" s="696"/>
      <c r="K14" s="696"/>
      <c r="L14" s="696"/>
      <c r="M14" s="696"/>
      <c r="N14" s="696"/>
      <c r="O14" s="696"/>
      <c r="P14" s="697"/>
      <c r="Q14" s="297"/>
    </row>
    <row r="15" spans="1:17" s="296" customFormat="1" ht="17.100000000000001" customHeight="1" x14ac:dyDescent="0.25">
      <c r="A15" s="297"/>
      <c r="B15" s="692" t="s">
        <v>363</v>
      </c>
      <c r="C15" s="693"/>
      <c r="D15" s="693"/>
      <c r="E15" s="693"/>
      <c r="F15" s="693"/>
      <c r="G15" s="693"/>
      <c r="H15" s="693"/>
      <c r="I15" s="693"/>
      <c r="J15" s="693"/>
      <c r="K15" s="693"/>
      <c r="L15" s="693"/>
      <c r="M15" s="693"/>
      <c r="N15" s="693"/>
      <c r="O15" s="693"/>
      <c r="P15" s="694"/>
      <c r="Q15" s="297"/>
    </row>
    <row r="16" spans="1:17" s="292" customFormat="1" ht="22.35" customHeight="1" thickBot="1" x14ac:dyDescent="0.3">
      <c r="A16" s="293"/>
      <c r="B16" s="713" t="s">
        <v>550</v>
      </c>
      <c r="C16" s="714"/>
      <c r="D16" s="714"/>
      <c r="E16" s="714"/>
      <c r="F16" s="714"/>
      <c r="G16" s="714"/>
      <c r="H16" s="714"/>
      <c r="I16" s="714"/>
      <c r="J16" s="714"/>
      <c r="K16" s="714"/>
      <c r="L16" s="714"/>
      <c r="M16" s="714"/>
      <c r="N16" s="714"/>
      <c r="O16" s="714"/>
      <c r="P16" s="715"/>
      <c r="Q16" s="293"/>
    </row>
    <row r="17" spans="1:17" ht="43.8" customHeight="1" x14ac:dyDescent="0.25">
      <c r="A17" s="306"/>
      <c r="B17" s="716" t="s">
        <v>474</v>
      </c>
      <c r="C17" s="717"/>
      <c r="D17" s="717"/>
      <c r="E17" s="717"/>
      <c r="F17" s="717"/>
      <c r="G17" s="717"/>
      <c r="H17" s="717"/>
      <c r="I17" s="717"/>
      <c r="J17" s="717"/>
      <c r="K17" s="717"/>
      <c r="L17" s="717"/>
      <c r="M17" s="717"/>
      <c r="N17" s="717"/>
      <c r="O17" s="717"/>
      <c r="P17" s="718"/>
      <c r="Q17" s="306"/>
    </row>
    <row r="18" spans="1:17" ht="16.5" customHeight="1" x14ac:dyDescent="0.25">
      <c r="A18" s="306"/>
      <c r="B18" s="719" t="s">
        <v>364</v>
      </c>
      <c r="C18" s="720"/>
      <c r="D18" s="720"/>
      <c r="E18" s="720"/>
      <c r="F18" s="720"/>
      <c r="G18" s="720"/>
      <c r="H18" s="720"/>
      <c r="I18" s="720"/>
      <c r="J18" s="720"/>
      <c r="K18" s="720"/>
      <c r="L18" s="720"/>
      <c r="M18" s="720"/>
      <c r="N18" s="720"/>
      <c r="O18" s="720"/>
      <c r="P18" s="721"/>
      <c r="Q18" s="306"/>
    </row>
    <row r="19" spans="1:17" ht="16.5" customHeight="1" x14ac:dyDescent="0.25">
      <c r="A19" s="306"/>
      <c r="B19" s="719" t="s">
        <v>475</v>
      </c>
      <c r="C19" s="720"/>
      <c r="D19" s="720"/>
      <c r="E19" s="720"/>
      <c r="F19" s="720"/>
      <c r="G19" s="720"/>
      <c r="H19" s="720"/>
      <c r="I19" s="720"/>
      <c r="J19" s="720"/>
      <c r="K19" s="720"/>
      <c r="L19" s="720"/>
      <c r="M19" s="720"/>
      <c r="N19" s="720"/>
      <c r="O19" s="720"/>
      <c r="P19" s="721"/>
      <c r="Q19" s="306"/>
    </row>
    <row r="20" spans="1:17" s="533" customFormat="1" ht="15" customHeight="1" x14ac:dyDescent="0.3">
      <c r="A20" s="532"/>
      <c r="B20" s="722" t="s">
        <v>476</v>
      </c>
      <c r="C20" s="723"/>
      <c r="D20" s="723"/>
      <c r="E20" s="723"/>
      <c r="F20" s="723"/>
      <c r="G20" s="723"/>
      <c r="H20" s="723"/>
      <c r="I20" s="723"/>
      <c r="J20" s="723"/>
      <c r="K20" s="723"/>
      <c r="L20" s="723"/>
      <c r="M20" s="723"/>
      <c r="N20" s="723"/>
      <c r="O20" s="723"/>
      <c r="P20" s="724"/>
      <c r="Q20" s="532"/>
    </row>
    <row r="21" spans="1:17" ht="43.2" customHeight="1" x14ac:dyDescent="0.25">
      <c r="A21" s="306"/>
      <c r="B21" s="695" t="s">
        <v>477</v>
      </c>
      <c r="C21" s="696"/>
      <c r="D21" s="696"/>
      <c r="E21" s="696"/>
      <c r="F21" s="696"/>
      <c r="G21" s="696"/>
      <c r="H21" s="696"/>
      <c r="I21" s="696"/>
      <c r="J21" s="696"/>
      <c r="K21" s="696"/>
      <c r="L21" s="696"/>
      <c r="M21" s="696"/>
      <c r="N21" s="696"/>
      <c r="O21" s="696"/>
      <c r="P21" s="697"/>
      <c r="Q21" s="306"/>
    </row>
    <row r="22" spans="1:17" ht="5.25" customHeight="1" x14ac:dyDescent="0.25">
      <c r="A22" s="306"/>
      <c r="B22" s="521"/>
      <c r="C22" s="306"/>
      <c r="D22" s="306"/>
      <c r="E22" s="306"/>
      <c r="F22" s="306"/>
      <c r="G22" s="306"/>
      <c r="H22" s="306"/>
      <c r="I22" s="306"/>
      <c r="J22" s="306"/>
      <c r="K22" s="306"/>
      <c r="L22" s="306"/>
      <c r="M22" s="306"/>
      <c r="N22" s="306"/>
      <c r="O22" s="306"/>
      <c r="P22" s="522"/>
      <c r="Q22" s="306"/>
    </row>
    <row r="23" spans="1:17" s="296" customFormat="1" ht="28.2" customHeight="1" x14ac:dyDescent="0.25">
      <c r="A23" s="297"/>
      <c r="B23" s="725" t="s">
        <v>551</v>
      </c>
      <c r="C23" s="701"/>
      <c r="D23" s="701"/>
      <c r="E23" s="701"/>
      <c r="F23" s="701"/>
      <c r="G23" s="701"/>
      <c r="H23" s="701"/>
      <c r="I23" s="701"/>
      <c r="J23" s="701"/>
      <c r="K23" s="701"/>
      <c r="L23" s="701"/>
      <c r="M23" s="701"/>
      <c r="N23" s="701"/>
      <c r="O23" s="701"/>
      <c r="P23" s="726"/>
      <c r="Q23" s="297"/>
    </row>
    <row r="24" spans="1:17" ht="44.55" customHeight="1" x14ac:dyDescent="0.25">
      <c r="A24" s="306"/>
      <c r="B24" s="725" t="s">
        <v>552</v>
      </c>
      <c r="C24" s="701"/>
      <c r="D24" s="701"/>
      <c r="E24" s="701"/>
      <c r="F24" s="701"/>
      <c r="G24" s="701"/>
      <c r="H24" s="701"/>
      <c r="I24" s="701"/>
      <c r="J24" s="701"/>
      <c r="K24" s="701"/>
      <c r="L24" s="701"/>
      <c r="M24" s="701"/>
      <c r="N24" s="701"/>
      <c r="O24" s="701"/>
      <c r="P24" s="726"/>
      <c r="Q24" s="306"/>
    </row>
    <row r="25" spans="1:17" ht="72.599999999999994" customHeight="1" x14ac:dyDescent="0.25">
      <c r="A25" s="306"/>
      <c r="B25" s="727" t="s">
        <v>553</v>
      </c>
      <c r="C25" s="728"/>
      <c r="D25" s="728"/>
      <c r="E25" s="728"/>
      <c r="F25" s="728"/>
      <c r="G25" s="728"/>
      <c r="H25" s="728"/>
      <c r="I25" s="728"/>
      <c r="J25" s="728"/>
      <c r="K25" s="728"/>
      <c r="L25" s="728"/>
      <c r="M25" s="728"/>
      <c r="N25" s="728"/>
      <c r="O25" s="728"/>
      <c r="P25" s="729"/>
      <c r="Q25" s="306"/>
    </row>
    <row r="26" spans="1:17" ht="18" customHeight="1" x14ac:dyDescent="0.25">
      <c r="A26" s="306"/>
      <c r="B26" s="730" t="s">
        <v>554</v>
      </c>
      <c r="C26" s="731"/>
      <c r="D26" s="731"/>
      <c r="E26" s="731"/>
      <c r="F26" s="731"/>
      <c r="G26" s="731"/>
      <c r="H26" s="731"/>
      <c r="I26" s="731"/>
      <c r="J26" s="731"/>
      <c r="K26" s="731"/>
      <c r="L26" s="731"/>
      <c r="M26" s="731"/>
      <c r="N26" s="731"/>
      <c r="O26" s="731"/>
      <c r="P26" s="732"/>
      <c r="Q26" s="306"/>
    </row>
    <row r="27" spans="1:17" ht="16.5" customHeight="1" x14ac:dyDescent="0.25">
      <c r="A27" s="306"/>
      <c r="B27" s="733"/>
      <c r="C27" s="734"/>
      <c r="D27" s="734"/>
      <c r="E27" s="734"/>
      <c r="F27" s="734"/>
      <c r="G27" s="734"/>
      <c r="H27" s="734"/>
      <c r="I27" s="734"/>
      <c r="J27" s="734"/>
      <c r="K27" s="734"/>
      <c r="L27" s="734"/>
      <c r="M27" s="734"/>
      <c r="N27" s="734"/>
      <c r="O27" s="734"/>
      <c r="P27" s="735"/>
      <c r="Q27" s="306"/>
    </row>
    <row r="28" spans="1:17" ht="85.8" customHeight="1" x14ac:dyDescent="0.25">
      <c r="A28" s="306"/>
      <c r="B28" s="730" t="s">
        <v>577</v>
      </c>
      <c r="C28" s="731"/>
      <c r="D28" s="731"/>
      <c r="E28" s="731"/>
      <c r="F28" s="731"/>
      <c r="G28" s="731"/>
      <c r="H28" s="731"/>
      <c r="I28" s="731"/>
      <c r="J28" s="731"/>
      <c r="K28" s="731"/>
      <c r="L28" s="731"/>
      <c r="M28" s="731"/>
      <c r="N28" s="731"/>
      <c r="O28" s="731"/>
      <c r="P28" s="732"/>
      <c r="Q28" s="306"/>
    </row>
    <row r="29" spans="1:17" s="618" customFormat="1" ht="16.8" customHeight="1" x14ac:dyDescent="0.25">
      <c r="A29" s="617"/>
      <c r="B29" s="730" t="s">
        <v>576</v>
      </c>
      <c r="C29" s="731"/>
      <c r="D29" s="731"/>
      <c r="E29" s="731"/>
      <c r="F29" s="731"/>
      <c r="G29" s="731"/>
      <c r="H29" s="731"/>
      <c r="I29" s="731"/>
      <c r="J29" s="731"/>
      <c r="K29" s="731"/>
      <c r="L29" s="731"/>
      <c r="M29" s="731"/>
      <c r="N29" s="731"/>
      <c r="O29" s="731"/>
      <c r="P29" s="732"/>
      <c r="Q29" s="617"/>
    </row>
    <row r="30" spans="1:17" s="618" customFormat="1" ht="16.5" hidden="1" customHeight="1" x14ac:dyDescent="0.25">
      <c r="A30" s="617"/>
      <c r="B30" s="730" t="s">
        <v>555</v>
      </c>
      <c r="C30" s="731"/>
      <c r="D30" s="731"/>
      <c r="E30" s="731"/>
      <c r="F30" s="731"/>
      <c r="G30" s="731"/>
      <c r="H30" s="731"/>
      <c r="I30" s="731"/>
      <c r="J30" s="731"/>
      <c r="K30" s="731"/>
      <c r="L30" s="731"/>
      <c r="M30" s="731"/>
      <c r="N30" s="731"/>
      <c r="O30" s="731"/>
      <c r="P30" s="732"/>
      <c r="Q30" s="617"/>
    </row>
    <row r="31" spans="1:17" s="618" customFormat="1" ht="17.55" hidden="1" customHeight="1" x14ac:dyDescent="0.25">
      <c r="A31" s="617"/>
      <c r="B31" s="730" t="s">
        <v>556</v>
      </c>
      <c r="C31" s="731"/>
      <c r="D31" s="731"/>
      <c r="E31" s="731"/>
      <c r="F31" s="731"/>
      <c r="G31" s="731"/>
      <c r="H31" s="731"/>
      <c r="I31" s="731"/>
      <c r="J31" s="731"/>
      <c r="K31" s="731"/>
      <c r="L31" s="731"/>
      <c r="M31" s="731"/>
      <c r="N31" s="731"/>
      <c r="O31" s="731"/>
      <c r="P31" s="732"/>
      <c r="Q31" s="617"/>
    </row>
    <row r="32" spans="1:17" ht="6.75" customHeight="1" thickBot="1" x14ac:dyDescent="0.3">
      <c r="A32" s="306"/>
      <c r="B32" s="736"/>
      <c r="C32" s="737"/>
      <c r="D32" s="737"/>
      <c r="E32" s="737"/>
      <c r="F32" s="737"/>
      <c r="G32" s="737"/>
      <c r="H32" s="737"/>
      <c r="I32" s="737"/>
      <c r="J32" s="737"/>
      <c r="K32" s="737"/>
      <c r="L32" s="737"/>
      <c r="M32" s="737"/>
      <c r="N32" s="737"/>
      <c r="O32" s="737"/>
      <c r="P32" s="738"/>
      <c r="Q32" s="306"/>
    </row>
    <row r="33" spans="1:17" s="296" customFormat="1" ht="26.1" customHeight="1" x14ac:dyDescent="0.25">
      <c r="A33" s="297"/>
      <c r="B33" s="710" t="s">
        <v>339</v>
      </c>
      <c r="C33" s="711"/>
      <c r="D33" s="711"/>
      <c r="E33" s="711"/>
      <c r="F33" s="711"/>
      <c r="G33" s="711"/>
      <c r="H33" s="711"/>
      <c r="I33" s="711"/>
      <c r="J33" s="711"/>
      <c r="K33" s="711"/>
      <c r="L33" s="711"/>
      <c r="M33" s="711"/>
      <c r="N33" s="711"/>
      <c r="O33" s="711"/>
      <c r="P33" s="712"/>
      <c r="Q33" s="297"/>
    </row>
    <row r="34" spans="1:17" s="294" customFormat="1" ht="27" customHeight="1" x14ac:dyDescent="0.25">
      <c r="A34" s="295"/>
      <c r="B34" s="727" t="s">
        <v>557</v>
      </c>
      <c r="C34" s="728"/>
      <c r="D34" s="728"/>
      <c r="E34" s="728"/>
      <c r="F34" s="728"/>
      <c r="G34" s="728"/>
      <c r="H34" s="728"/>
      <c r="I34" s="728"/>
      <c r="J34" s="728"/>
      <c r="K34" s="728"/>
      <c r="L34" s="728"/>
      <c r="M34" s="728"/>
      <c r="N34" s="728"/>
      <c r="O34" s="728"/>
      <c r="P34" s="729"/>
      <c r="Q34" s="295"/>
    </row>
    <row r="35" spans="1:17" s="294" customFormat="1" ht="27" customHeight="1" x14ac:dyDescent="0.25">
      <c r="A35" s="295"/>
      <c r="B35" s="725" t="s">
        <v>365</v>
      </c>
      <c r="C35" s="701"/>
      <c r="D35" s="701"/>
      <c r="E35" s="701"/>
      <c r="F35" s="701"/>
      <c r="G35" s="701"/>
      <c r="H35" s="701"/>
      <c r="I35" s="701"/>
      <c r="J35" s="701"/>
      <c r="K35" s="701"/>
      <c r="L35" s="701"/>
      <c r="M35" s="701"/>
      <c r="N35" s="701"/>
      <c r="O35" s="701"/>
      <c r="P35" s="726"/>
      <c r="Q35" s="295"/>
    </row>
    <row r="36" spans="1:17" s="294" customFormat="1" ht="15.75" customHeight="1" x14ac:dyDescent="0.25">
      <c r="A36" s="295"/>
      <c r="B36" s="751" t="s">
        <v>366</v>
      </c>
      <c r="C36" s="752"/>
      <c r="D36" s="752"/>
      <c r="E36" s="752"/>
      <c r="F36" s="752"/>
      <c r="G36" s="752"/>
      <c r="H36" s="752"/>
      <c r="I36" s="752"/>
      <c r="J36" s="752"/>
      <c r="K36" s="752"/>
      <c r="L36" s="752"/>
      <c r="M36" s="752"/>
      <c r="N36" s="752"/>
      <c r="O36" s="752"/>
      <c r="P36" s="753"/>
      <c r="Q36" s="295"/>
    </row>
    <row r="37" spans="1:17" s="294" customFormat="1" ht="15.75" customHeight="1" x14ac:dyDescent="0.25">
      <c r="A37" s="295"/>
      <c r="B37" s="751" t="s">
        <v>367</v>
      </c>
      <c r="C37" s="752"/>
      <c r="D37" s="752"/>
      <c r="E37" s="752"/>
      <c r="F37" s="752"/>
      <c r="G37" s="752"/>
      <c r="H37" s="752"/>
      <c r="I37" s="752"/>
      <c r="J37" s="752"/>
      <c r="K37" s="752"/>
      <c r="L37" s="752"/>
      <c r="M37" s="752"/>
      <c r="N37" s="752"/>
      <c r="O37" s="752"/>
      <c r="P37" s="753"/>
      <c r="Q37" s="295"/>
    </row>
    <row r="38" spans="1:17" s="292" customFormat="1" ht="15.75" customHeight="1" x14ac:dyDescent="0.25">
      <c r="A38" s="293"/>
      <c r="B38" s="725" t="s">
        <v>368</v>
      </c>
      <c r="C38" s="754"/>
      <c r="D38" s="754"/>
      <c r="E38" s="754"/>
      <c r="F38" s="754"/>
      <c r="G38" s="754"/>
      <c r="H38" s="754"/>
      <c r="I38" s="754"/>
      <c r="J38" s="754"/>
      <c r="K38" s="754"/>
      <c r="L38" s="754"/>
      <c r="M38" s="754"/>
      <c r="N38" s="754"/>
      <c r="O38" s="754"/>
      <c r="P38" s="755"/>
      <c r="Q38" s="293"/>
    </row>
    <row r="39" spans="1:17" s="292" customFormat="1" ht="18" customHeight="1" thickBot="1" x14ac:dyDescent="0.3">
      <c r="A39" s="293"/>
      <c r="B39" s="713" t="s">
        <v>558</v>
      </c>
      <c r="C39" s="714"/>
      <c r="D39" s="714"/>
      <c r="E39" s="714"/>
      <c r="F39" s="714"/>
      <c r="G39" s="714"/>
      <c r="H39" s="714"/>
      <c r="I39" s="714"/>
      <c r="J39" s="714"/>
      <c r="K39" s="714"/>
      <c r="L39" s="714"/>
      <c r="M39" s="714"/>
      <c r="N39" s="714"/>
      <c r="O39" s="714"/>
      <c r="P39" s="715"/>
      <c r="Q39" s="293"/>
    </row>
    <row r="40" spans="1:17" ht="46.8" customHeight="1" x14ac:dyDescent="0.25">
      <c r="A40" s="306"/>
      <c r="B40" s="739" t="s">
        <v>559</v>
      </c>
      <c r="C40" s="740"/>
      <c r="D40" s="740"/>
      <c r="E40" s="740"/>
      <c r="F40" s="740"/>
      <c r="G40" s="740"/>
      <c r="H40" s="740"/>
      <c r="I40" s="740"/>
      <c r="J40" s="740"/>
      <c r="K40" s="740"/>
      <c r="L40" s="740"/>
      <c r="M40" s="740"/>
      <c r="N40" s="740"/>
      <c r="O40" s="740"/>
      <c r="P40" s="741"/>
      <c r="Q40" s="306"/>
    </row>
    <row r="41" spans="1:17" ht="33" customHeight="1" thickBot="1" x14ac:dyDescent="0.3">
      <c r="A41" s="306"/>
      <c r="B41" s="742" t="s">
        <v>338</v>
      </c>
      <c r="C41" s="743"/>
      <c r="D41" s="743"/>
      <c r="E41" s="743"/>
      <c r="F41" s="743"/>
      <c r="G41" s="743"/>
      <c r="H41" s="743"/>
      <c r="I41" s="743"/>
      <c r="J41" s="743"/>
      <c r="K41" s="743"/>
      <c r="L41" s="743"/>
      <c r="M41" s="743"/>
      <c r="N41" s="743"/>
      <c r="O41" s="743"/>
      <c r="P41" s="744"/>
      <c r="Q41" s="306"/>
    </row>
    <row r="42" spans="1:17" ht="85.2" customHeight="1" x14ac:dyDescent="0.25">
      <c r="A42" s="306"/>
      <c r="B42" s="739" t="s">
        <v>483</v>
      </c>
      <c r="C42" s="740"/>
      <c r="D42" s="740"/>
      <c r="E42" s="740"/>
      <c r="F42" s="740"/>
      <c r="G42" s="740"/>
      <c r="H42" s="740"/>
      <c r="I42" s="740"/>
      <c r="J42" s="740"/>
      <c r="K42" s="740"/>
      <c r="L42" s="740"/>
      <c r="M42" s="740"/>
      <c r="N42" s="740"/>
      <c r="O42" s="740"/>
      <c r="P42" s="741"/>
      <c r="Q42" s="306"/>
    </row>
    <row r="43" spans="1:17" ht="13.2" x14ac:dyDescent="0.25">
      <c r="A43" s="306"/>
      <c r="B43" s="638" t="s">
        <v>115</v>
      </c>
      <c r="C43" s="617"/>
      <c r="D43" s="617"/>
      <c r="E43" s="617"/>
      <c r="F43" s="617"/>
      <c r="G43" s="617"/>
      <c r="H43" s="617"/>
      <c r="I43" s="617"/>
      <c r="J43" s="617"/>
      <c r="K43" s="617"/>
      <c r="L43" s="617"/>
      <c r="M43" s="617"/>
      <c r="N43" s="617"/>
      <c r="O43" s="617"/>
      <c r="P43" s="639"/>
      <c r="Q43" s="306"/>
    </row>
    <row r="44" spans="1:17" ht="17.25" customHeight="1" thickBot="1" x14ac:dyDescent="0.3">
      <c r="A44" s="306"/>
      <c r="B44" s="745" t="s">
        <v>116</v>
      </c>
      <c r="C44" s="746"/>
      <c r="D44" s="746"/>
      <c r="E44" s="746"/>
      <c r="F44" s="746"/>
      <c r="G44" s="746"/>
      <c r="H44" s="746"/>
      <c r="I44" s="746"/>
      <c r="J44" s="746"/>
      <c r="K44" s="746"/>
      <c r="L44" s="746"/>
      <c r="M44" s="746"/>
      <c r="N44" s="746"/>
      <c r="O44" s="746"/>
      <c r="P44" s="747"/>
      <c r="Q44" s="306"/>
    </row>
    <row r="45" spans="1:17" ht="55.5" customHeight="1" x14ac:dyDescent="0.25">
      <c r="A45" s="306"/>
      <c r="B45" s="739" t="s">
        <v>484</v>
      </c>
      <c r="C45" s="740"/>
      <c r="D45" s="740"/>
      <c r="E45" s="740"/>
      <c r="F45" s="740"/>
      <c r="G45" s="740"/>
      <c r="H45" s="740"/>
      <c r="I45" s="740"/>
      <c r="J45" s="740"/>
      <c r="K45" s="740"/>
      <c r="L45" s="740"/>
      <c r="M45" s="740"/>
      <c r="N45" s="740"/>
      <c r="O45" s="740"/>
      <c r="P45" s="741"/>
      <c r="Q45" s="306"/>
    </row>
    <row r="46" spans="1:17" ht="16.5" customHeight="1" x14ac:dyDescent="0.25">
      <c r="A46" s="306"/>
      <c r="B46" s="638" t="s">
        <v>115</v>
      </c>
      <c r="C46" s="617"/>
      <c r="D46" s="617"/>
      <c r="E46" s="617"/>
      <c r="F46" s="617"/>
      <c r="G46" s="617"/>
      <c r="H46" s="617"/>
      <c r="I46" s="617"/>
      <c r="J46" s="617"/>
      <c r="K46" s="617"/>
      <c r="L46" s="617"/>
      <c r="M46" s="617"/>
      <c r="N46" s="617"/>
      <c r="O46" s="617"/>
      <c r="P46" s="639"/>
      <c r="Q46" s="306"/>
    </row>
    <row r="47" spans="1:17" ht="16.5" customHeight="1" thickBot="1" x14ac:dyDescent="0.3">
      <c r="A47" s="306"/>
      <c r="B47" s="745" t="s">
        <v>116</v>
      </c>
      <c r="C47" s="746"/>
      <c r="D47" s="746"/>
      <c r="E47" s="746"/>
      <c r="F47" s="746"/>
      <c r="G47" s="746"/>
      <c r="H47" s="746"/>
      <c r="I47" s="746"/>
      <c r="J47" s="746"/>
      <c r="K47" s="746"/>
      <c r="L47" s="746"/>
      <c r="M47" s="746"/>
      <c r="N47" s="746"/>
      <c r="O47" s="746"/>
      <c r="P47" s="747"/>
      <c r="Q47" s="306"/>
    </row>
    <row r="48" spans="1:17" ht="20.100000000000001" customHeight="1" x14ac:dyDescent="0.3">
      <c r="A48" s="306"/>
      <c r="B48" s="756" t="s">
        <v>560</v>
      </c>
      <c r="C48" s="757"/>
      <c r="D48" s="757"/>
      <c r="E48" s="757"/>
      <c r="F48" s="757"/>
      <c r="G48" s="757"/>
      <c r="H48" s="757"/>
      <c r="I48" s="757"/>
      <c r="J48" s="757"/>
      <c r="K48" s="757"/>
      <c r="L48" s="757"/>
      <c r="M48" s="757"/>
      <c r="N48" s="757"/>
      <c r="O48" s="757"/>
      <c r="P48" s="758"/>
      <c r="Q48" s="306"/>
    </row>
    <row r="49" spans="1:17" ht="43.5" customHeight="1" x14ac:dyDescent="0.25">
      <c r="A49" s="306"/>
      <c r="B49" s="730" t="s">
        <v>337</v>
      </c>
      <c r="C49" s="731"/>
      <c r="D49" s="731"/>
      <c r="E49" s="731"/>
      <c r="F49" s="731"/>
      <c r="G49" s="731"/>
      <c r="H49" s="731"/>
      <c r="I49" s="731"/>
      <c r="J49" s="731"/>
      <c r="K49" s="731"/>
      <c r="L49" s="731"/>
      <c r="M49" s="731"/>
      <c r="N49" s="731"/>
      <c r="O49" s="731"/>
      <c r="P49" s="732"/>
      <c r="Q49" s="306"/>
    </row>
    <row r="50" spans="1:17" ht="13.2" x14ac:dyDescent="0.25">
      <c r="A50" s="306"/>
      <c r="B50" s="759" t="s">
        <v>115</v>
      </c>
      <c r="C50" s="760"/>
      <c r="D50" s="760"/>
      <c r="E50" s="760"/>
      <c r="F50" s="760"/>
      <c r="G50" s="760"/>
      <c r="H50" s="760"/>
      <c r="I50" s="760"/>
      <c r="J50" s="760"/>
      <c r="K50" s="760"/>
      <c r="L50" s="760"/>
      <c r="M50" s="760"/>
      <c r="N50" s="760"/>
      <c r="O50" s="760"/>
      <c r="P50" s="761"/>
      <c r="Q50" s="306"/>
    </row>
    <row r="51" spans="1:17" ht="13.2" x14ac:dyDescent="0.25">
      <c r="A51" s="306"/>
      <c r="B51" s="759" t="s">
        <v>116</v>
      </c>
      <c r="C51" s="760"/>
      <c r="D51" s="760"/>
      <c r="E51" s="760"/>
      <c r="F51" s="760"/>
      <c r="G51" s="760"/>
      <c r="H51" s="760"/>
      <c r="I51" s="760"/>
      <c r="J51" s="760"/>
      <c r="K51" s="760"/>
      <c r="L51" s="760"/>
      <c r="M51" s="760"/>
      <c r="N51" s="760"/>
      <c r="O51" s="760"/>
      <c r="P51" s="761"/>
      <c r="Q51" s="306"/>
    </row>
    <row r="52" spans="1:17" ht="7.5" customHeight="1" x14ac:dyDescent="0.25">
      <c r="A52" s="306"/>
      <c r="B52" s="638"/>
      <c r="C52" s="617"/>
      <c r="D52" s="617"/>
      <c r="E52" s="617"/>
      <c r="F52" s="617"/>
      <c r="G52" s="617"/>
      <c r="H52" s="617"/>
      <c r="I52" s="617"/>
      <c r="J52" s="617"/>
      <c r="K52" s="617"/>
      <c r="L52" s="617"/>
      <c r="M52" s="617"/>
      <c r="N52" s="617"/>
      <c r="O52" s="617"/>
      <c r="P52" s="639"/>
      <c r="Q52" s="306"/>
    </row>
    <row r="53" spans="1:17" ht="30" customHeight="1" thickBot="1" x14ac:dyDescent="0.3">
      <c r="A53" s="306"/>
      <c r="B53" s="762" t="s">
        <v>342</v>
      </c>
      <c r="C53" s="763"/>
      <c r="D53" s="763"/>
      <c r="E53" s="763"/>
      <c r="F53" s="763"/>
      <c r="G53" s="763"/>
      <c r="H53" s="763"/>
      <c r="I53" s="763"/>
      <c r="J53" s="763"/>
      <c r="K53" s="763"/>
      <c r="L53" s="763"/>
      <c r="M53" s="763"/>
      <c r="N53" s="763"/>
      <c r="O53" s="763"/>
      <c r="P53" s="764"/>
      <c r="Q53" s="306"/>
    </row>
    <row r="54" spans="1:17" s="296" customFormat="1" ht="29.1" customHeight="1" thickBot="1" x14ac:dyDescent="0.3">
      <c r="A54" s="400"/>
      <c r="B54" s="765" t="s">
        <v>123</v>
      </c>
      <c r="C54" s="766"/>
      <c r="D54" s="766"/>
      <c r="E54" s="766"/>
      <c r="F54" s="766"/>
      <c r="G54" s="766"/>
      <c r="H54" s="766"/>
      <c r="I54" s="766"/>
      <c r="J54" s="766"/>
      <c r="K54" s="766"/>
      <c r="L54" s="766"/>
      <c r="M54" s="766"/>
      <c r="N54" s="766"/>
      <c r="O54" s="766"/>
      <c r="P54" s="767"/>
      <c r="Q54" s="297"/>
    </row>
    <row r="55" spans="1:17" ht="13.2" x14ac:dyDescent="0.25">
      <c r="A55" s="306"/>
      <c r="B55" s="768" t="s">
        <v>117</v>
      </c>
      <c r="C55" s="769"/>
      <c r="D55" s="769"/>
      <c r="E55" s="769"/>
      <c r="F55" s="769"/>
      <c r="G55" s="769"/>
      <c r="H55" s="769"/>
      <c r="I55" s="769"/>
      <c r="J55" s="769"/>
      <c r="K55" s="769"/>
      <c r="L55" s="769"/>
      <c r="M55" s="769"/>
      <c r="N55" s="769"/>
      <c r="O55" s="769"/>
      <c r="P55" s="770"/>
      <c r="Q55" s="306"/>
    </row>
    <row r="56" spans="1:17" ht="44.25" customHeight="1" x14ac:dyDescent="0.25">
      <c r="A56" s="306"/>
      <c r="B56" s="730" t="s">
        <v>561</v>
      </c>
      <c r="C56" s="731"/>
      <c r="D56" s="731"/>
      <c r="E56" s="731"/>
      <c r="F56" s="731"/>
      <c r="G56" s="731"/>
      <c r="H56" s="731"/>
      <c r="I56" s="731"/>
      <c r="J56" s="731"/>
      <c r="K56" s="731"/>
      <c r="L56" s="731"/>
      <c r="M56" s="731"/>
      <c r="N56" s="731"/>
      <c r="O56" s="731"/>
      <c r="P56" s="732"/>
      <c r="Q56" s="306"/>
    </row>
    <row r="57" spans="1:17" ht="13.2" x14ac:dyDescent="0.25">
      <c r="A57" s="306"/>
      <c r="B57" s="748" t="s">
        <v>336</v>
      </c>
      <c r="C57" s="749"/>
      <c r="D57" s="749"/>
      <c r="E57" s="749"/>
      <c r="F57" s="749"/>
      <c r="G57" s="749"/>
      <c r="H57" s="749"/>
      <c r="I57" s="749"/>
      <c r="J57" s="749"/>
      <c r="K57" s="749"/>
      <c r="L57" s="749"/>
      <c r="M57" s="749"/>
      <c r="N57" s="749"/>
      <c r="O57" s="749"/>
      <c r="P57" s="750"/>
      <c r="Q57" s="306"/>
    </row>
    <row r="58" spans="1:17" ht="6.75" customHeight="1" x14ac:dyDescent="0.25">
      <c r="A58" s="306"/>
      <c r="B58" s="521"/>
      <c r="C58" s="306"/>
      <c r="D58" s="306"/>
      <c r="E58" s="306"/>
      <c r="F58" s="306"/>
      <c r="G58" s="306"/>
      <c r="H58" s="306"/>
      <c r="I58" s="306"/>
      <c r="J58" s="306"/>
      <c r="K58" s="306"/>
      <c r="L58" s="306"/>
      <c r="M58" s="306"/>
      <c r="N58" s="306"/>
      <c r="O58" s="306"/>
      <c r="P58" s="522"/>
      <c r="Q58" s="306"/>
    </row>
    <row r="59" spans="1:17" ht="42.75" customHeight="1" x14ac:dyDescent="0.25">
      <c r="A59" s="306"/>
      <c r="B59" s="730" t="s">
        <v>562</v>
      </c>
      <c r="C59" s="731"/>
      <c r="D59" s="731"/>
      <c r="E59" s="731"/>
      <c r="F59" s="731"/>
      <c r="G59" s="731"/>
      <c r="H59" s="731"/>
      <c r="I59" s="731"/>
      <c r="J59" s="731"/>
      <c r="K59" s="731"/>
      <c r="L59" s="731"/>
      <c r="M59" s="731"/>
      <c r="N59" s="731"/>
      <c r="O59" s="731"/>
      <c r="P59" s="732"/>
      <c r="Q59" s="306"/>
    </row>
    <row r="60" spans="1:17" ht="16.5" customHeight="1" x14ac:dyDescent="0.25">
      <c r="A60" s="306"/>
      <c r="B60" s="748" t="s">
        <v>485</v>
      </c>
      <c r="C60" s="749"/>
      <c r="D60" s="749"/>
      <c r="E60" s="749"/>
      <c r="F60" s="749"/>
      <c r="G60" s="749"/>
      <c r="H60" s="749"/>
      <c r="I60" s="749"/>
      <c r="J60" s="749"/>
      <c r="K60" s="749"/>
      <c r="L60" s="749"/>
      <c r="M60" s="749"/>
      <c r="N60" s="749"/>
      <c r="O60" s="749"/>
      <c r="P60" s="750"/>
      <c r="Q60" s="306"/>
    </row>
    <row r="61" spans="1:17" ht="39" customHeight="1" x14ac:dyDescent="0.25">
      <c r="A61" s="306"/>
      <c r="B61" s="730" t="s">
        <v>563</v>
      </c>
      <c r="C61" s="731"/>
      <c r="D61" s="731"/>
      <c r="E61" s="731"/>
      <c r="F61" s="731"/>
      <c r="G61" s="731"/>
      <c r="H61" s="731"/>
      <c r="I61" s="731"/>
      <c r="J61" s="731"/>
      <c r="K61" s="731"/>
      <c r="L61" s="731"/>
      <c r="M61" s="731"/>
      <c r="N61" s="731"/>
      <c r="O61" s="731"/>
      <c r="P61" s="732"/>
      <c r="Q61" s="306"/>
    </row>
    <row r="62" spans="1:17" ht="30" customHeight="1" thickBot="1" x14ac:dyDescent="0.3">
      <c r="A62" s="306"/>
      <c r="B62" s="774" t="s">
        <v>118</v>
      </c>
      <c r="C62" s="775"/>
      <c r="D62" s="775"/>
      <c r="E62" s="775"/>
      <c r="F62" s="775"/>
      <c r="G62" s="775"/>
      <c r="H62" s="775"/>
      <c r="I62" s="775"/>
      <c r="J62" s="775"/>
      <c r="K62" s="775"/>
      <c r="L62" s="775"/>
      <c r="M62" s="775"/>
      <c r="N62" s="775"/>
      <c r="O62" s="775"/>
      <c r="P62" s="776"/>
      <c r="Q62" s="306"/>
    </row>
    <row r="63" spans="1:17" ht="30" customHeight="1" x14ac:dyDescent="0.25">
      <c r="A63" s="306"/>
      <c r="B63" s="777" t="s">
        <v>564</v>
      </c>
      <c r="C63" s="778"/>
      <c r="D63" s="778"/>
      <c r="E63" s="778"/>
      <c r="F63" s="778"/>
      <c r="G63" s="778"/>
      <c r="H63" s="778"/>
      <c r="I63" s="778"/>
      <c r="J63" s="778"/>
      <c r="K63" s="778"/>
      <c r="L63" s="778"/>
      <c r="M63" s="778"/>
      <c r="N63" s="778"/>
      <c r="O63" s="778"/>
      <c r="P63" s="779"/>
      <c r="Q63" s="306"/>
    </row>
    <row r="64" spans="1:17" ht="16.5" customHeight="1" thickBot="1" x14ac:dyDescent="0.3">
      <c r="A64" s="306"/>
      <c r="B64" s="771" t="s">
        <v>335</v>
      </c>
      <c r="C64" s="772"/>
      <c r="D64" s="772"/>
      <c r="E64" s="772"/>
      <c r="F64" s="772"/>
      <c r="G64" s="772"/>
      <c r="H64" s="772"/>
      <c r="I64" s="772"/>
      <c r="J64" s="772"/>
      <c r="K64" s="772"/>
      <c r="L64" s="772"/>
      <c r="M64" s="772"/>
      <c r="N64" s="772"/>
      <c r="O64" s="772"/>
      <c r="P64" s="773"/>
      <c r="Q64" s="306"/>
    </row>
    <row r="65" spans="1:17" ht="69" customHeight="1" x14ac:dyDescent="0.25">
      <c r="A65" s="306"/>
      <c r="B65" s="777" t="s">
        <v>334</v>
      </c>
      <c r="C65" s="740"/>
      <c r="D65" s="740"/>
      <c r="E65" s="740"/>
      <c r="F65" s="740"/>
      <c r="G65" s="740"/>
      <c r="H65" s="740"/>
      <c r="I65" s="740"/>
      <c r="J65" s="740"/>
      <c r="K65" s="740"/>
      <c r="L65" s="740"/>
      <c r="M65" s="740"/>
      <c r="N65" s="740"/>
      <c r="O65" s="740"/>
      <c r="P65" s="741"/>
      <c r="Q65" s="306"/>
    </row>
    <row r="66" spans="1:17" ht="4.5" customHeight="1" thickBot="1" x14ac:dyDescent="0.3">
      <c r="A66" s="306"/>
      <c r="B66" s="640"/>
      <c r="C66" s="666"/>
      <c r="D66" s="666"/>
      <c r="E66" s="666"/>
      <c r="F66" s="666"/>
      <c r="G66" s="666"/>
      <c r="H66" s="666"/>
      <c r="I66" s="666"/>
      <c r="J66" s="666"/>
      <c r="K66" s="666"/>
      <c r="L66" s="666"/>
      <c r="M66" s="666"/>
      <c r="N66" s="666"/>
      <c r="O66" s="666"/>
      <c r="P66" s="641"/>
      <c r="Q66" s="306"/>
    </row>
    <row r="67" spans="1:17" ht="13.2" x14ac:dyDescent="0.25">
      <c r="A67" s="306"/>
      <c r="B67" s="768" t="s">
        <v>565</v>
      </c>
      <c r="C67" s="769"/>
      <c r="D67" s="769"/>
      <c r="E67" s="769"/>
      <c r="F67" s="769"/>
      <c r="G67" s="769"/>
      <c r="H67" s="769"/>
      <c r="I67" s="769"/>
      <c r="J67" s="769"/>
      <c r="K67" s="769"/>
      <c r="L67" s="769"/>
      <c r="M67" s="769"/>
      <c r="N67" s="769"/>
      <c r="O67" s="769"/>
      <c r="P67" s="770"/>
      <c r="Q67" s="306"/>
    </row>
    <row r="68" spans="1:17" ht="13.2" x14ac:dyDescent="0.25">
      <c r="A68" s="306"/>
      <c r="B68" s="759" t="s">
        <v>122</v>
      </c>
      <c r="C68" s="760"/>
      <c r="D68" s="760"/>
      <c r="E68" s="760"/>
      <c r="F68" s="760"/>
      <c r="G68" s="760"/>
      <c r="H68" s="760"/>
      <c r="I68" s="760"/>
      <c r="J68" s="760"/>
      <c r="K68" s="760"/>
      <c r="L68" s="760"/>
      <c r="M68" s="760"/>
      <c r="N68" s="760"/>
      <c r="O68" s="760"/>
      <c r="P68" s="761"/>
      <c r="Q68" s="306"/>
    </row>
    <row r="69" spans="1:17" ht="15.6" customHeight="1" x14ac:dyDescent="0.25">
      <c r="A69" s="306"/>
      <c r="B69" s="730" t="s">
        <v>546</v>
      </c>
      <c r="C69" s="731"/>
      <c r="D69" s="731"/>
      <c r="E69" s="731"/>
      <c r="F69" s="731"/>
      <c r="G69" s="731"/>
      <c r="H69" s="731"/>
      <c r="I69" s="731"/>
      <c r="J69" s="731"/>
      <c r="K69" s="731"/>
      <c r="L69" s="731"/>
      <c r="M69" s="731"/>
      <c r="N69" s="731"/>
      <c r="O69" s="731"/>
      <c r="P69" s="732"/>
      <c r="Q69" s="306"/>
    </row>
    <row r="70" spans="1:17" ht="22.35" customHeight="1" x14ac:dyDescent="0.25">
      <c r="A70" s="306"/>
      <c r="B70" s="730" t="s">
        <v>566</v>
      </c>
      <c r="C70" s="731"/>
      <c r="D70" s="731"/>
      <c r="E70" s="731"/>
      <c r="F70" s="731"/>
      <c r="G70" s="731"/>
      <c r="H70" s="731"/>
      <c r="I70" s="731"/>
      <c r="J70" s="731"/>
      <c r="K70" s="731"/>
      <c r="L70" s="731"/>
      <c r="M70" s="731"/>
      <c r="N70" s="731"/>
      <c r="O70" s="731"/>
      <c r="P70" s="732"/>
      <c r="Q70" s="306"/>
    </row>
    <row r="71" spans="1:17" ht="17.55" customHeight="1" x14ac:dyDescent="0.25">
      <c r="A71" s="306"/>
      <c r="B71" s="748" t="s">
        <v>369</v>
      </c>
      <c r="C71" s="749"/>
      <c r="D71" s="749"/>
      <c r="E71" s="749"/>
      <c r="F71" s="749"/>
      <c r="G71" s="749"/>
      <c r="H71" s="749"/>
      <c r="I71" s="749"/>
      <c r="J71" s="749"/>
      <c r="K71" s="749"/>
      <c r="L71" s="749"/>
      <c r="M71" s="749"/>
      <c r="N71" s="749"/>
      <c r="O71" s="749"/>
      <c r="P71" s="750"/>
      <c r="Q71" s="306"/>
    </row>
    <row r="72" spans="1:17" s="402" customFormat="1" ht="28.35" customHeight="1" thickBot="1" x14ac:dyDescent="0.3">
      <c r="A72" s="401"/>
      <c r="B72" s="771" t="s">
        <v>486</v>
      </c>
      <c r="C72" s="772"/>
      <c r="D72" s="772"/>
      <c r="E72" s="772"/>
      <c r="F72" s="772"/>
      <c r="G72" s="772"/>
      <c r="H72" s="772"/>
      <c r="I72" s="772"/>
      <c r="J72" s="772"/>
      <c r="K72" s="772"/>
      <c r="L72" s="772"/>
      <c r="M72" s="772"/>
      <c r="N72" s="772"/>
      <c r="O72" s="772"/>
      <c r="P72" s="773"/>
      <c r="Q72" s="401"/>
    </row>
    <row r="73" spans="1:17" s="296" customFormat="1" ht="29.1" customHeight="1" thickBot="1" x14ac:dyDescent="0.3">
      <c r="A73" s="400"/>
      <c r="B73" s="765" t="s">
        <v>508</v>
      </c>
      <c r="C73" s="766"/>
      <c r="D73" s="766"/>
      <c r="E73" s="766"/>
      <c r="F73" s="766"/>
      <c r="G73" s="766"/>
      <c r="H73" s="766"/>
      <c r="I73" s="766"/>
      <c r="J73" s="766"/>
      <c r="K73" s="766"/>
      <c r="L73" s="766"/>
      <c r="M73" s="766"/>
      <c r="N73" s="766"/>
      <c r="O73" s="766"/>
      <c r="P73" s="767"/>
      <c r="Q73" s="297"/>
    </row>
    <row r="74" spans="1:17" s="296" customFormat="1" ht="16.8" customHeight="1" x14ac:dyDescent="0.25">
      <c r="A74" s="297"/>
      <c r="B74" s="710" t="s">
        <v>340</v>
      </c>
      <c r="C74" s="711"/>
      <c r="D74" s="711"/>
      <c r="E74" s="711"/>
      <c r="F74" s="711"/>
      <c r="G74" s="711"/>
      <c r="H74" s="711"/>
      <c r="I74" s="711"/>
      <c r="J74" s="711"/>
      <c r="K74" s="711"/>
      <c r="L74" s="711"/>
      <c r="M74" s="711"/>
      <c r="N74" s="711"/>
      <c r="O74" s="711"/>
      <c r="P74" s="712"/>
      <c r="Q74" s="297"/>
    </row>
    <row r="75" spans="1:17" s="296" customFormat="1" ht="16.8" customHeight="1" x14ac:dyDescent="0.25">
      <c r="A75" s="297"/>
      <c r="B75" s="692" t="s">
        <v>567</v>
      </c>
      <c r="C75" s="693"/>
      <c r="D75" s="693"/>
      <c r="E75" s="693"/>
      <c r="F75" s="693"/>
      <c r="G75" s="693"/>
      <c r="H75" s="693"/>
      <c r="I75" s="693"/>
      <c r="J75" s="693"/>
      <c r="K75" s="693"/>
      <c r="L75" s="693"/>
      <c r="M75" s="693"/>
      <c r="N75" s="693"/>
      <c r="O75" s="693"/>
      <c r="P75" s="694"/>
      <c r="Q75" s="297"/>
    </row>
    <row r="76" spans="1:17" s="296" customFormat="1" ht="16.8" customHeight="1" x14ac:dyDescent="0.25">
      <c r="A76" s="297"/>
      <c r="B76" s="692" t="s">
        <v>544</v>
      </c>
      <c r="C76" s="693"/>
      <c r="D76" s="693"/>
      <c r="E76" s="693"/>
      <c r="F76" s="693"/>
      <c r="G76" s="693"/>
      <c r="H76" s="693"/>
      <c r="I76" s="693"/>
      <c r="J76" s="693"/>
      <c r="K76" s="693"/>
      <c r="L76" s="693"/>
      <c r="M76" s="693"/>
      <c r="N76" s="693"/>
      <c r="O76" s="693"/>
      <c r="P76" s="694"/>
      <c r="Q76" s="297"/>
    </row>
    <row r="77" spans="1:17" s="296" customFormat="1" ht="16.8" customHeight="1" x14ac:dyDescent="0.25">
      <c r="A77" s="297"/>
      <c r="B77" s="692" t="s">
        <v>543</v>
      </c>
      <c r="C77" s="693"/>
      <c r="D77" s="693"/>
      <c r="E77" s="693"/>
      <c r="F77" s="693"/>
      <c r="G77" s="693"/>
      <c r="H77" s="693"/>
      <c r="I77" s="693"/>
      <c r="J77" s="693"/>
      <c r="K77" s="693"/>
      <c r="L77" s="693"/>
      <c r="M77" s="693"/>
      <c r="N77" s="693"/>
      <c r="O77" s="693"/>
      <c r="P77" s="694"/>
      <c r="Q77" s="297"/>
    </row>
    <row r="78" spans="1:17" s="296" customFormat="1" ht="16.8" customHeight="1" x14ac:dyDescent="0.25">
      <c r="A78" s="297"/>
      <c r="B78" s="692" t="s">
        <v>509</v>
      </c>
      <c r="C78" s="693"/>
      <c r="D78" s="693"/>
      <c r="E78" s="693"/>
      <c r="F78" s="693"/>
      <c r="G78" s="693"/>
      <c r="H78" s="693"/>
      <c r="I78" s="693"/>
      <c r="J78" s="693"/>
      <c r="K78" s="693"/>
      <c r="L78" s="693"/>
      <c r="M78" s="693"/>
      <c r="N78" s="693"/>
      <c r="O78" s="693"/>
      <c r="P78" s="694"/>
      <c r="Q78" s="297"/>
    </row>
    <row r="79" spans="1:17" s="296" customFormat="1" ht="16.8" customHeight="1" x14ac:dyDescent="0.25">
      <c r="A79" s="297"/>
      <c r="B79" s="692" t="s">
        <v>542</v>
      </c>
      <c r="C79" s="693"/>
      <c r="D79" s="693"/>
      <c r="E79" s="693"/>
      <c r="F79" s="693"/>
      <c r="G79" s="693"/>
      <c r="H79" s="693"/>
      <c r="I79" s="693"/>
      <c r="J79" s="693"/>
      <c r="K79" s="693"/>
      <c r="L79" s="693"/>
      <c r="M79" s="693"/>
      <c r="N79" s="693"/>
      <c r="O79" s="693"/>
      <c r="P79" s="694"/>
      <c r="Q79" s="297"/>
    </row>
    <row r="80" spans="1:17" s="296" customFormat="1" ht="16.8" customHeight="1" thickBot="1" x14ac:dyDescent="0.3">
      <c r="A80" s="297"/>
      <c r="B80" s="692" t="s">
        <v>541</v>
      </c>
      <c r="C80" s="693"/>
      <c r="D80" s="693"/>
      <c r="E80" s="693"/>
      <c r="F80" s="693"/>
      <c r="G80" s="693"/>
      <c r="H80" s="693"/>
      <c r="I80" s="693"/>
      <c r="J80" s="693"/>
      <c r="K80" s="693"/>
      <c r="L80" s="693"/>
      <c r="M80" s="693"/>
      <c r="N80" s="693"/>
      <c r="O80" s="693"/>
      <c r="P80" s="694"/>
      <c r="Q80" s="297"/>
    </row>
    <row r="81" spans="1:17" ht="16.8" customHeight="1" x14ac:dyDescent="0.25">
      <c r="A81" s="306"/>
      <c r="B81" s="768" t="s">
        <v>510</v>
      </c>
      <c r="C81" s="769"/>
      <c r="D81" s="769"/>
      <c r="E81" s="769"/>
      <c r="F81" s="769"/>
      <c r="G81" s="769"/>
      <c r="H81" s="769"/>
      <c r="I81" s="769"/>
      <c r="J81" s="769"/>
      <c r="K81" s="769"/>
      <c r="L81" s="769"/>
      <c r="M81" s="769"/>
      <c r="N81" s="769"/>
      <c r="O81" s="769"/>
      <c r="P81" s="770"/>
      <c r="Q81" s="306"/>
    </row>
    <row r="82" spans="1:17" ht="16.8" customHeight="1" x14ac:dyDescent="0.25">
      <c r="A82" s="397"/>
      <c r="B82" s="692" t="s">
        <v>540</v>
      </c>
      <c r="C82" s="693"/>
      <c r="D82" s="693"/>
      <c r="E82" s="693"/>
      <c r="F82" s="693"/>
      <c r="G82" s="693"/>
      <c r="H82" s="693"/>
      <c r="I82" s="693"/>
      <c r="J82" s="693"/>
      <c r="K82" s="693"/>
      <c r="L82" s="693"/>
      <c r="M82" s="693"/>
      <c r="N82" s="693"/>
      <c r="O82" s="693"/>
      <c r="P82" s="694"/>
    </row>
    <row r="83" spans="1:17" ht="16.8" customHeight="1" x14ac:dyDescent="0.25">
      <c r="A83" s="397"/>
      <c r="B83" s="692" t="s">
        <v>539</v>
      </c>
      <c r="C83" s="693"/>
      <c r="D83" s="693"/>
      <c r="E83" s="693"/>
      <c r="F83" s="693"/>
      <c r="G83" s="693"/>
      <c r="H83" s="693"/>
      <c r="I83" s="693"/>
      <c r="J83" s="693"/>
      <c r="K83" s="693"/>
      <c r="L83" s="693"/>
      <c r="M83" s="693"/>
      <c r="N83" s="693"/>
      <c r="O83" s="693"/>
      <c r="P83" s="694"/>
    </row>
    <row r="84" spans="1:17" ht="16.8" customHeight="1" x14ac:dyDescent="0.25">
      <c r="A84" s="397"/>
      <c r="B84" s="692" t="s">
        <v>547</v>
      </c>
      <c r="C84" s="693"/>
      <c r="D84" s="693"/>
      <c r="E84" s="693"/>
      <c r="F84" s="693"/>
      <c r="G84" s="693"/>
      <c r="H84" s="693"/>
      <c r="I84" s="693"/>
      <c r="J84" s="693"/>
      <c r="K84" s="693"/>
      <c r="L84" s="693"/>
      <c r="M84" s="693"/>
      <c r="N84" s="693"/>
      <c r="O84" s="693"/>
      <c r="P84" s="694"/>
    </row>
    <row r="85" spans="1:17" ht="16.8" customHeight="1" x14ac:dyDescent="0.25">
      <c r="A85" s="397"/>
      <c r="B85" s="692" t="s">
        <v>538</v>
      </c>
      <c r="C85" s="693"/>
      <c r="D85" s="693"/>
      <c r="E85" s="693"/>
      <c r="F85" s="693"/>
      <c r="G85" s="693"/>
      <c r="H85" s="693"/>
      <c r="I85" s="693"/>
      <c r="J85" s="693"/>
      <c r="K85" s="693"/>
      <c r="L85" s="693"/>
      <c r="M85" s="693"/>
      <c r="N85" s="693"/>
      <c r="O85" s="693"/>
      <c r="P85" s="694"/>
    </row>
    <row r="86" spans="1:17" ht="16.8" customHeight="1" x14ac:dyDescent="0.25">
      <c r="A86" s="397"/>
      <c r="B86" s="692" t="s">
        <v>537</v>
      </c>
      <c r="C86" s="693"/>
      <c r="D86" s="693"/>
      <c r="E86" s="693"/>
      <c r="F86" s="693"/>
      <c r="G86" s="693"/>
      <c r="H86" s="693"/>
      <c r="I86" s="693"/>
      <c r="J86" s="693"/>
      <c r="K86" s="693"/>
      <c r="L86" s="693"/>
      <c r="M86" s="693"/>
      <c r="N86" s="693"/>
      <c r="O86" s="693"/>
      <c r="P86" s="694"/>
    </row>
    <row r="87" spans="1:17" ht="16.8" customHeight="1" thickBot="1" x14ac:dyDescent="0.3">
      <c r="A87" s="397"/>
      <c r="B87" s="692" t="s">
        <v>536</v>
      </c>
      <c r="C87" s="693"/>
      <c r="D87" s="693"/>
      <c r="E87" s="693"/>
      <c r="F87" s="693"/>
      <c r="G87" s="693"/>
      <c r="H87" s="693"/>
      <c r="I87" s="693"/>
      <c r="J87" s="693"/>
      <c r="K87" s="693"/>
      <c r="L87" s="693"/>
      <c r="M87" s="693"/>
      <c r="N87" s="693"/>
      <c r="O87" s="693"/>
      <c r="P87" s="694"/>
    </row>
    <row r="88" spans="1:17" ht="16.8" customHeight="1" x14ac:dyDescent="0.25">
      <c r="A88" s="306"/>
      <c r="B88" s="768" t="s">
        <v>511</v>
      </c>
      <c r="C88" s="769"/>
      <c r="D88" s="769"/>
      <c r="E88" s="769"/>
      <c r="F88" s="769"/>
      <c r="G88" s="769"/>
      <c r="H88" s="769"/>
      <c r="I88" s="769"/>
      <c r="J88" s="769"/>
      <c r="K88" s="769"/>
      <c r="L88" s="769"/>
      <c r="M88" s="769"/>
      <c r="N88" s="769"/>
      <c r="O88" s="769"/>
      <c r="P88" s="770"/>
      <c r="Q88" s="306"/>
    </row>
    <row r="89" spans="1:17" ht="16.8" customHeight="1" thickBot="1" x14ac:dyDescent="0.3">
      <c r="A89" s="397"/>
      <c r="B89" s="692" t="s">
        <v>535</v>
      </c>
      <c r="C89" s="693"/>
      <c r="D89" s="693"/>
      <c r="E89" s="693"/>
      <c r="F89" s="693"/>
      <c r="G89" s="693"/>
      <c r="H89" s="693"/>
      <c r="I89" s="693"/>
      <c r="J89" s="693"/>
      <c r="K89" s="693"/>
      <c r="L89" s="693"/>
      <c r="M89" s="693"/>
      <c r="N89" s="693"/>
      <c r="O89" s="693"/>
      <c r="P89" s="694"/>
    </row>
    <row r="90" spans="1:17" s="296" customFormat="1" ht="29.1" customHeight="1" thickBot="1" x14ac:dyDescent="0.3">
      <c r="A90" s="400"/>
      <c r="B90" s="765" t="s">
        <v>512</v>
      </c>
      <c r="C90" s="766"/>
      <c r="D90" s="766"/>
      <c r="E90" s="766"/>
      <c r="F90" s="766"/>
      <c r="G90" s="766"/>
      <c r="H90" s="766"/>
      <c r="I90" s="766"/>
      <c r="J90" s="766"/>
      <c r="K90" s="766"/>
      <c r="L90" s="766"/>
      <c r="M90" s="766"/>
      <c r="N90" s="766"/>
      <c r="O90" s="766"/>
      <c r="P90" s="767"/>
      <c r="Q90" s="297"/>
    </row>
    <row r="91" spans="1:17" ht="16.8" customHeight="1" x14ac:dyDescent="0.25">
      <c r="A91" s="306"/>
      <c r="B91" s="768" t="s">
        <v>513</v>
      </c>
      <c r="C91" s="769"/>
      <c r="D91" s="769"/>
      <c r="E91" s="769"/>
      <c r="F91" s="769"/>
      <c r="G91" s="769"/>
      <c r="H91" s="769"/>
      <c r="I91" s="769"/>
      <c r="J91" s="769"/>
      <c r="K91" s="769"/>
      <c r="L91" s="769"/>
      <c r="M91" s="769"/>
      <c r="N91" s="769"/>
      <c r="O91" s="769"/>
      <c r="P91" s="770"/>
      <c r="Q91" s="306"/>
    </row>
    <row r="92" spans="1:17" s="637" customFormat="1" ht="16.8" customHeight="1" x14ac:dyDescent="0.25">
      <c r="A92" s="636"/>
      <c r="B92" s="695" t="s">
        <v>534</v>
      </c>
      <c r="C92" s="696"/>
      <c r="D92" s="696"/>
      <c r="E92" s="696"/>
      <c r="F92" s="696"/>
      <c r="G92" s="696"/>
      <c r="H92" s="696"/>
      <c r="I92" s="696"/>
      <c r="J92" s="696"/>
      <c r="K92" s="696"/>
      <c r="L92" s="696"/>
      <c r="M92" s="696"/>
      <c r="N92" s="696"/>
      <c r="O92" s="696"/>
      <c r="P92" s="697"/>
      <c r="Q92" s="636"/>
    </row>
    <row r="93" spans="1:17" s="637" customFormat="1" ht="16.8" customHeight="1" x14ac:dyDescent="0.25">
      <c r="A93" s="636"/>
      <c r="B93" s="695" t="s">
        <v>533</v>
      </c>
      <c r="C93" s="696"/>
      <c r="D93" s="696"/>
      <c r="E93" s="696"/>
      <c r="F93" s="696"/>
      <c r="G93" s="696"/>
      <c r="H93" s="696"/>
      <c r="I93" s="696"/>
      <c r="J93" s="696"/>
      <c r="K93" s="696"/>
      <c r="L93" s="696"/>
      <c r="M93" s="696"/>
      <c r="N93" s="696"/>
      <c r="O93" s="696"/>
      <c r="P93" s="697"/>
      <c r="Q93" s="636"/>
    </row>
    <row r="94" spans="1:17" s="637" customFormat="1" ht="16.8" customHeight="1" x14ac:dyDescent="0.25">
      <c r="A94" s="636"/>
      <c r="B94" s="695" t="s">
        <v>532</v>
      </c>
      <c r="C94" s="696"/>
      <c r="D94" s="696"/>
      <c r="E94" s="696"/>
      <c r="F94" s="696"/>
      <c r="G94" s="696"/>
      <c r="H94" s="696"/>
      <c r="I94" s="696"/>
      <c r="J94" s="696"/>
      <c r="K94" s="696"/>
      <c r="L94" s="696"/>
      <c r="M94" s="696"/>
      <c r="N94" s="696"/>
      <c r="O94" s="696"/>
      <c r="P94" s="697"/>
      <c r="Q94" s="636"/>
    </row>
    <row r="95" spans="1:17" s="637" customFormat="1" ht="27.75" customHeight="1" x14ac:dyDescent="0.25">
      <c r="A95" s="636"/>
      <c r="B95" s="695" t="s">
        <v>545</v>
      </c>
      <c r="C95" s="696"/>
      <c r="D95" s="696"/>
      <c r="E95" s="696"/>
      <c r="F95" s="696"/>
      <c r="G95" s="696"/>
      <c r="H95" s="696"/>
      <c r="I95" s="696"/>
      <c r="J95" s="696"/>
      <c r="K95" s="696"/>
      <c r="L95" s="696"/>
      <c r="M95" s="696"/>
      <c r="N95" s="696"/>
      <c r="O95" s="696"/>
      <c r="P95" s="697"/>
      <c r="Q95" s="636"/>
    </row>
    <row r="96" spans="1:17" s="637" customFormat="1" ht="16.8" customHeight="1" x14ac:dyDescent="0.25">
      <c r="A96" s="636"/>
      <c r="B96" s="695" t="s">
        <v>531</v>
      </c>
      <c r="C96" s="696"/>
      <c r="D96" s="696"/>
      <c r="E96" s="696"/>
      <c r="F96" s="696"/>
      <c r="G96" s="696"/>
      <c r="H96" s="696"/>
      <c r="I96" s="696"/>
      <c r="J96" s="696"/>
      <c r="K96" s="696"/>
      <c r="L96" s="696"/>
      <c r="M96" s="696"/>
      <c r="N96" s="696"/>
      <c r="O96" s="696"/>
      <c r="P96" s="697"/>
      <c r="Q96" s="636"/>
    </row>
    <row r="97" spans="1:17" s="637" customFormat="1" ht="16.8" customHeight="1" x14ac:dyDescent="0.25">
      <c r="A97" s="636"/>
      <c r="B97" s="695" t="s">
        <v>530</v>
      </c>
      <c r="C97" s="696"/>
      <c r="D97" s="696"/>
      <c r="E97" s="696"/>
      <c r="F97" s="696"/>
      <c r="G97" s="696"/>
      <c r="H97" s="696"/>
      <c r="I97" s="696"/>
      <c r="J97" s="696"/>
      <c r="K97" s="696"/>
      <c r="L97" s="696"/>
      <c r="M97" s="696"/>
      <c r="N97" s="696"/>
      <c r="O97" s="696"/>
      <c r="P97" s="697"/>
      <c r="Q97" s="636"/>
    </row>
    <row r="98" spans="1:17" s="637" customFormat="1" ht="36" customHeight="1" x14ac:dyDescent="0.25">
      <c r="A98" s="636"/>
      <c r="B98" s="695" t="s">
        <v>529</v>
      </c>
      <c r="C98" s="696"/>
      <c r="D98" s="696"/>
      <c r="E98" s="696"/>
      <c r="F98" s="696"/>
      <c r="G98" s="696"/>
      <c r="H98" s="696"/>
      <c r="I98" s="696"/>
      <c r="J98" s="696"/>
      <c r="K98" s="696"/>
      <c r="L98" s="696"/>
      <c r="M98" s="696"/>
      <c r="N98" s="696"/>
      <c r="O98" s="696"/>
      <c r="P98" s="697"/>
      <c r="Q98" s="636"/>
    </row>
    <row r="99" spans="1:17" s="637" customFormat="1" ht="16.8" customHeight="1" x14ac:dyDescent="0.25">
      <c r="A99" s="636"/>
      <c r="B99" s="695" t="s">
        <v>528</v>
      </c>
      <c r="C99" s="696"/>
      <c r="D99" s="696"/>
      <c r="E99" s="696"/>
      <c r="F99" s="696"/>
      <c r="G99" s="696"/>
      <c r="H99" s="696"/>
      <c r="I99" s="696"/>
      <c r="J99" s="696"/>
      <c r="K99" s="696"/>
      <c r="L99" s="696"/>
      <c r="M99" s="696"/>
      <c r="N99" s="696"/>
      <c r="O99" s="696"/>
      <c r="P99" s="697"/>
      <c r="Q99" s="636"/>
    </row>
    <row r="100" spans="1:17" s="637" customFormat="1" ht="44.4" customHeight="1" x14ac:dyDescent="0.25">
      <c r="A100" s="636"/>
      <c r="B100" s="695" t="s">
        <v>527</v>
      </c>
      <c r="C100" s="696"/>
      <c r="D100" s="696"/>
      <c r="E100" s="696"/>
      <c r="F100" s="696"/>
      <c r="G100" s="696"/>
      <c r="H100" s="696"/>
      <c r="I100" s="696"/>
      <c r="J100" s="696"/>
      <c r="K100" s="696"/>
      <c r="L100" s="696"/>
      <c r="M100" s="696"/>
      <c r="N100" s="696"/>
      <c r="O100" s="696"/>
      <c r="P100" s="697"/>
      <c r="Q100" s="636"/>
    </row>
    <row r="101" spans="1:17" s="637" customFormat="1" ht="19.2" customHeight="1" x14ac:dyDescent="0.25">
      <c r="A101" s="636"/>
      <c r="B101" s="695" t="s">
        <v>526</v>
      </c>
      <c r="C101" s="696"/>
      <c r="D101" s="696"/>
      <c r="E101" s="696"/>
      <c r="F101" s="696"/>
      <c r="G101" s="696"/>
      <c r="H101" s="696"/>
      <c r="I101" s="696"/>
      <c r="J101" s="696"/>
      <c r="K101" s="696"/>
      <c r="L101" s="696"/>
      <c r="M101" s="696"/>
      <c r="N101" s="696"/>
      <c r="O101" s="696"/>
      <c r="P101" s="697"/>
      <c r="Q101" s="636"/>
    </row>
    <row r="102" spans="1:17" s="637" customFormat="1" ht="46.8" customHeight="1" thickBot="1" x14ac:dyDescent="0.3">
      <c r="A102" s="636"/>
      <c r="B102" s="695" t="s">
        <v>548</v>
      </c>
      <c r="C102" s="696"/>
      <c r="D102" s="696"/>
      <c r="E102" s="696"/>
      <c r="F102" s="696"/>
      <c r="G102" s="696"/>
      <c r="H102" s="696"/>
      <c r="I102" s="696"/>
      <c r="J102" s="696"/>
      <c r="K102" s="696"/>
      <c r="L102" s="696"/>
      <c r="M102" s="696"/>
      <c r="N102" s="696"/>
      <c r="O102" s="696"/>
      <c r="P102" s="697"/>
      <c r="Q102" s="636"/>
    </row>
    <row r="103" spans="1:17" s="296" customFormat="1" ht="29.1" customHeight="1" thickBot="1" x14ac:dyDescent="0.3">
      <c r="A103" s="400"/>
      <c r="B103" s="765" t="s">
        <v>515</v>
      </c>
      <c r="C103" s="766"/>
      <c r="D103" s="766"/>
      <c r="E103" s="766"/>
      <c r="F103" s="766"/>
      <c r="G103" s="766"/>
      <c r="H103" s="766"/>
      <c r="I103" s="766"/>
      <c r="J103" s="766"/>
      <c r="K103" s="766"/>
      <c r="L103" s="766"/>
      <c r="M103" s="766"/>
      <c r="N103" s="766"/>
      <c r="O103" s="766"/>
      <c r="P103" s="767"/>
      <c r="Q103" s="297"/>
    </row>
    <row r="104" spans="1:17" ht="13.2" x14ac:dyDescent="0.25">
      <c r="A104" s="306"/>
      <c r="B104" s="768" t="s">
        <v>514</v>
      </c>
      <c r="C104" s="769"/>
      <c r="D104" s="769"/>
      <c r="E104" s="769"/>
      <c r="F104" s="769"/>
      <c r="G104" s="769"/>
      <c r="H104" s="769"/>
      <c r="I104" s="769"/>
      <c r="J104" s="769"/>
      <c r="K104" s="769"/>
      <c r="L104" s="769"/>
      <c r="M104" s="769"/>
      <c r="N104" s="769"/>
      <c r="O104" s="769"/>
      <c r="P104" s="770"/>
      <c r="Q104" s="306"/>
    </row>
    <row r="105" spans="1:17" ht="44.25" customHeight="1" x14ac:dyDescent="0.25">
      <c r="A105" s="306"/>
      <c r="B105" s="730" t="s">
        <v>568</v>
      </c>
      <c r="C105" s="731"/>
      <c r="D105" s="731"/>
      <c r="E105" s="731"/>
      <c r="F105" s="731"/>
      <c r="G105" s="731"/>
      <c r="H105" s="731"/>
      <c r="I105" s="731"/>
      <c r="J105" s="731"/>
      <c r="K105" s="731"/>
      <c r="L105" s="731"/>
      <c r="M105" s="731"/>
      <c r="N105" s="731"/>
      <c r="O105" s="731"/>
      <c r="P105" s="732"/>
      <c r="Q105" s="306"/>
    </row>
    <row r="106" spans="1:17" ht="30.6" customHeight="1" x14ac:dyDescent="0.25">
      <c r="A106" s="306"/>
      <c r="B106" s="730" t="s">
        <v>525</v>
      </c>
      <c r="C106" s="731"/>
      <c r="D106" s="731"/>
      <c r="E106" s="731"/>
      <c r="F106" s="731"/>
      <c r="G106" s="731"/>
      <c r="H106" s="731"/>
      <c r="I106" s="731"/>
      <c r="J106" s="731"/>
      <c r="K106" s="731"/>
      <c r="L106" s="731"/>
      <c r="M106" s="731"/>
      <c r="N106" s="731"/>
      <c r="O106" s="731"/>
      <c r="P106" s="732"/>
      <c r="Q106" s="306"/>
    </row>
    <row r="107" spans="1:17" ht="42.6" customHeight="1" x14ac:dyDescent="0.25">
      <c r="A107" s="306"/>
      <c r="B107" s="730" t="s">
        <v>569</v>
      </c>
      <c r="C107" s="731"/>
      <c r="D107" s="731"/>
      <c r="E107" s="731"/>
      <c r="F107" s="731"/>
      <c r="G107" s="731"/>
      <c r="H107" s="731"/>
      <c r="I107" s="731"/>
      <c r="J107" s="731"/>
      <c r="K107" s="731"/>
      <c r="L107" s="731"/>
      <c r="M107" s="731"/>
      <c r="N107" s="731"/>
      <c r="O107" s="731"/>
      <c r="P107" s="732"/>
      <c r="Q107" s="306"/>
    </row>
    <row r="108" spans="1:17" ht="16.5" customHeight="1" x14ac:dyDescent="0.25">
      <c r="A108" s="306"/>
      <c r="B108" s="748" t="s">
        <v>485</v>
      </c>
      <c r="C108" s="749"/>
      <c r="D108" s="749"/>
      <c r="E108" s="749"/>
      <c r="F108" s="749"/>
      <c r="G108" s="749"/>
      <c r="H108" s="749"/>
      <c r="I108" s="749"/>
      <c r="J108" s="749"/>
      <c r="K108" s="749"/>
      <c r="L108" s="749"/>
      <c r="M108" s="749"/>
      <c r="N108" s="749"/>
      <c r="O108" s="749"/>
      <c r="P108" s="750"/>
      <c r="Q108" s="306"/>
    </row>
    <row r="109" spans="1:17" ht="39" customHeight="1" x14ac:dyDescent="0.25">
      <c r="A109" s="306"/>
      <c r="B109" s="730" t="s">
        <v>570</v>
      </c>
      <c r="C109" s="731"/>
      <c r="D109" s="731"/>
      <c r="E109" s="731"/>
      <c r="F109" s="731"/>
      <c r="G109" s="731"/>
      <c r="H109" s="731"/>
      <c r="I109" s="731"/>
      <c r="J109" s="731"/>
      <c r="K109" s="731"/>
      <c r="L109" s="731"/>
      <c r="M109" s="731"/>
      <c r="N109" s="731"/>
      <c r="O109" s="731"/>
      <c r="P109" s="732"/>
      <c r="Q109" s="306"/>
    </row>
    <row r="110" spans="1:17" ht="30" customHeight="1" thickBot="1" x14ac:dyDescent="0.3">
      <c r="A110" s="306"/>
      <c r="B110" s="774" t="s">
        <v>516</v>
      </c>
      <c r="C110" s="775"/>
      <c r="D110" s="775"/>
      <c r="E110" s="775"/>
      <c r="F110" s="775"/>
      <c r="G110" s="775"/>
      <c r="H110" s="775"/>
      <c r="I110" s="775"/>
      <c r="J110" s="775"/>
      <c r="K110" s="775"/>
      <c r="L110" s="775"/>
      <c r="M110" s="775"/>
      <c r="N110" s="775"/>
      <c r="O110" s="775"/>
      <c r="P110" s="776"/>
      <c r="Q110" s="306"/>
    </row>
    <row r="111" spans="1:17" s="637" customFormat="1" ht="79.8" customHeight="1" thickBot="1" x14ac:dyDescent="0.3">
      <c r="A111" s="636"/>
      <c r="B111" s="780" t="s">
        <v>524</v>
      </c>
      <c r="C111" s="781"/>
      <c r="D111" s="781"/>
      <c r="E111" s="781"/>
      <c r="F111" s="781"/>
      <c r="G111" s="781"/>
      <c r="H111" s="781"/>
      <c r="I111" s="781"/>
      <c r="J111" s="781"/>
      <c r="K111" s="781"/>
      <c r="L111" s="781"/>
      <c r="M111" s="781"/>
      <c r="N111" s="781"/>
      <c r="O111" s="781"/>
      <c r="P111" s="782"/>
      <c r="Q111" s="636"/>
    </row>
    <row r="112" spans="1:17" ht="13.2" x14ac:dyDescent="0.25">
      <c r="A112" s="397"/>
      <c r="B112" s="397"/>
      <c r="C112" s="397"/>
      <c r="D112" s="397"/>
      <c r="E112" s="397"/>
      <c r="F112" s="397"/>
      <c r="G112" s="397"/>
      <c r="H112" s="397"/>
      <c r="I112" s="397"/>
      <c r="J112" s="397"/>
      <c r="K112" s="397"/>
      <c r="L112" s="397"/>
      <c r="M112" s="397"/>
      <c r="N112" s="397"/>
      <c r="O112" s="397"/>
      <c r="P112" s="397"/>
    </row>
    <row r="113" ht="13.2" hidden="1" x14ac:dyDescent="0.25"/>
    <row r="114" ht="13.2" hidden="1" x14ac:dyDescent="0.25"/>
    <row r="115" ht="13.2" hidden="1" x14ac:dyDescent="0.25"/>
    <row r="116" ht="13.2" hidden="1" x14ac:dyDescent="0.25"/>
    <row r="117" ht="13.2" hidden="1" x14ac:dyDescent="0.25"/>
    <row r="118" ht="13.2" hidden="1" x14ac:dyDescent="0.25"/>
    <row r="119" ht="13.2" hidden="1" x14ac:dyDescent="0.25"/>
    <row r="120" ht="13.2" hidden="1" x14ac:dyDescent="0.25"/>
    <row r="121" ht="13.2" hidden="1" x14ac:dyDescent="0.25"/>
    <row r="122" ht="13.2" hidden="1" x14ac:dyDescent="0.25"/>
    <row r="123" ht="13.2" hidden="1" x14ac:dyDescent="0.25"/>
    <row r="124" ht="13.2" hidden="1" x14ac:dyDescent="0.25"/>
    <row r="125" ht="13.2" hidden="1" x14ac:dyDescent="0.25"/>
    <row r="126" ht="13.2" hidden="1" x14ac:dyDescent="0.25"/>
    <row r="127" ht="13.2" hidden="1" x14ac:dyDescent="0.25"/>
    <row r="128" ht="13.2" hidden="1" x14ac:dyDescent="0.25"/>
    <row r="129" ht="13.2" hidden="1" x14ac:dyDescent="0.25"/>
    <row r="130" ht="13.2" hidden="1" x14ac:dyDescent="0.25"/>
    <row r="131" ht="13.2" hidden="1" x14ac:dyDescent="0.25"/>
    <row r="132" ht="13.2" hidden="1" x14ac:dyDescent="0.25"/>
    <row r="133" ht="13.2" hidden="1" x14ac:dyDescent="0.25"/>
    <row r="134" ht="13.2" hidden="1" x14ac:dyDescent="0.25"/>
    <row r="135" ht="13.2" hidden="1" x14ac:dyDescent="0.25"/>
    <row r="136" ht="13.2" hidden="1" x14ac:dyDescent="0.25"/>
    <row r="137" ht="13.2" hidden="1" x14ac:dyDescent="0.25"/>
    <row r="138" ht="13.2" hidden="1" x14ac:dyDescent="0.25"/>
    <row r="139" ht="13.2" hidden="1" x14ac:dyDescent="0.25"/>
    <row r="140" ht="13.2" hidden="1" x14ac:dyDescent="0.25"/>
    <row r="141" ht="13.2" hidden="1" x14ac:dyDescent="0.25"/>
    <row r="142" ht="13.2" hidden="1" x14ac:dyDescent="0.25"/>
    <row r="143" ht="13.2" hidden="1" x14ac:dyDescent="0.25"/>
    <row r="144" ht="13.2" hidden="1" x14ac:dyDescent="0.25"/>
    <row r="145" ht="13.2" hidden="1" x14ac:dyDescent="0.25"/>
    <row r="146" ht="13.2" hidden="1" x14ac:dyDescent="0.25"/>
    <row r="147" ht="13.2" hidden="1" x14ac:dyDescent="0.25"/>
    <row r="148" ht="13.2" hidden="1" x14ac:dyDescent="0.25"/>
    <row r="149" ht="13.2" hidden="1" x14ac:dyDescent="0.25"/>
    <row r="150" ht="13.2" hidden="1" x14ac:dyDescent="0.25"/>
    <row r="151" ht="13.2" hidden="1" x14ac:dyDescent="0.25"/>
    <row r="152" ht="13.2" hidden="1" x14ac:dyDescent="0.25"/>
    <row r="153" ht="13.2" hidden="1" x14ac:dyDescent="0.25"/>
    <row r="154" ht="13.2" hidden="1" x14ac:dyDescent="0.25"/>
    <row r="155" ht="13.2" hidden="1" x14ac:dyDescent="0.25"/>
    <row r="156" ht="13.2" hidden="1" x14ac:dyDescent="0.25"/>
    <row r="157" ht="13.2" hidden="1" x14ac:dyDescent="0.25"/>
    <row r="158" ht="13.2" hidden="1" x14ac:dyDescent="0.25"/>
    <row r="159" ht="13.2" hidden="1" x14ac:dyDescent="0.25"/>
    <row r="160" ht="13.2" hidden="1" x14ac:dyDescent="0.25"/>
    <row r="161" ht="13.2" hidden="1" x14ac:dyDescent="0.25"/>
    <row r="162" ht="13.2" hidden="1" x14ac:dyDescent="0.25"/>
    <row r="163" ht="13.2" hidden="1" x14ac:dyDescent="0.25"/>
    <row r="164" ht="13.2" hidden="1" x14ac:dyDescent="0.25"/>
    <row r="165" ht="13.2" hidden="1" x14ac:dyDescent="0.25"/>
    <row r="166" ht="13.2" hidden="1" x14ac:dyDescent="0.25"/>
    <row r="167" ht="13.2" hidden="1" x14ac:dyDescent="0.25"/>
    <row r="168" ht="13.2" hidden="1" x14ac:dyDescent="0.25"/>
    <row r="169" ht="13.2" hidden="1" x14ac:dyDescent="0.25"/>
    <row r="170" ht="13.2" hidden="1" x14ac:dyDescent="0.25"/>
    <row r="171" ht="13.2" hidden="1" x14ac:dyDescent="0.25"/>
    <row r="172" ht="13.2" hidden="1" x14ac:dyDescent="0.25"/>
    <row r="173" ht="13.2" hidden="1" x14ac:dyDescent="0.25"/>
    <row r="174" ht="13.2" hidden="1" x14ac:dyDescent="0.25"/>
    <row r="175" ht="13.2" hidden="1" x14ac:dyDescent="0.25"/>
    <row r="176" ht="13.2" hidden="1" x14ac:dyDescent="0.25"/>
    <row r="177" ht="13.2" hidden="1" x14ac:dyDescent="0.25"/>
    <row r="178" ht="13.2" hidden="1" x14ac:dyDescent="0.25"/>
    <row r="179" ht="13.2" hidden="1" x14ac:dyDescent="0.25"/>
    <row r="180" ht="13.2" hidden="1" x14ac:dyDescent="0.25"/>
    <row r="181" ht="13.2" hidden="1" x14ac:dyDescent="0.25"/>
    <row r="182" ht="13.2" hidden="1" x14ac:dyDescent="0.25"/>
    <row r="183" ht="13.2" hidden="1" x14ac:dyDescent="0.25"/>
    <row r="184" ht="13.2" hidden="1" x14ac:dyDescent="0.25"/>
    <row r="185" ht="13.2" hidden="1" x14ac:dyDescent="0.25"/>
    <row r="186" ht="13.2" hidden="1" x14ac:dyDescent="0.25"/>
    <row r="187" ht="13.2" hidden="1" x14ac:dyDescent="0.25"/>
    <row r="188" ht="13.2" hidden="1" x14ac:dyDescent="0.25"/>
    <row r="189" ht="13.2" hidden="1" x14ac:dyDescent="0.25"/>
    <row r="190" ht="13.2" hidden="1" x14ac:dyDescent="0.25"/>
    <row r="191" ht="13.2" hidden="1" x14ac:dyDescent="0.25"/>
    <row r="192" ht="13.2" hidden="1" x14ac:dyDescent="0.25"/>
    <row r="193" ht="13.2" hidden="1" x14ac:dyDescent="0.25"/>
    <row r="194" ht="13.2" hidden="1" x14ac:dyDescent="0.25"/>
    <row r="195" ht="13.2" hidden="1" x14ac:dyDescent="0.25"/>
    <row r="196" ht="13.2" hidden="1" x14ac:dyDescent="0.25"/>
    <row r="197" ht="13.2" hidden="1" x14ac:dyDescent="0.25"/>
    <row r="198" ht="13.2" hidden="1" x14ac:dyDescent="0.25"/>
    <row r="199" ht="13.2" hidden="1" x14ac:dyDescent="0.25"/>
    <row r="200" ht="13.2" hidden="1" x14ac:dyDescent="0.25"/>
    <row r="201" ht="13.2" hidden="1" x14ac:dyDescent="0.25"/>
    <row r="202" ht="13.2" hidden="1" x14ac:dyDescent="0.25"/>
    <row r="203" ht="13.2" hidden="1" x14ac:dyDescent="0.25"/>
    <row r="204" ht="13.2" hidden="1" x14ac:dyDescent="0.25"/>
    <row r="205" ht="13.2" hidden="1" x14ac:dyDescent="0.25"/>
    <row r="206" ht="13.2" hidden="1" x14ac:dyDescent="0.25"/>
    <row r="207" ht="13.2" hidden="1" x14ac:dyDescent="0.25"/>
    <row r="208" ht="13.2" hidden="1" x14ac:dyDescent="0.25"/>
    <row r="209" ht="13.2" hidden="1" x14ac:dyDescent="0.25"/>
    <row r="210" ht="13.2" hidden="1" x14ac:dyDescent="0.25"/>
    <row r="211" ht="13.2" hidden="1" x14ac:dyDescent="0.25"/>
    <row r="212" ht="13.2" hidden="1" x14ac:dyDescent="0.25"/>
    <row r="213" ht="13.2" hidden="1" x14ac:dyDescent="0.25"/>
    <row r="214" ht="13.2" hidden="1" x14ac:dyDescent="0.25"/>
    <row r="215" ht="13.2" hidden="1" x14ac:dyDescent="0.25"/>
    <row r="216" ht="13.2" hidden="1" x14ac:dyDescent="0.25"/>
    <row r="217" ht="13.2" hidden="1" x14ac:dyDescent="0.25"/>
    <row r="218" ht="13.2" hidden="1" x14ac:dyDescent="0.25"/>
    <row r="219" ht="13.2" hidden="1" x14ac:dyDescent="0.25"/>
    <row r="220" ht="13.2" hidden="1" x14ac:dyDescent="0.25"/>
    <row r="221" ht="13.2" hidden="1" x14ac:dyDescent="0.25"/>
    <row r="222" ht="13.2" hidden="1" x14ac:dyDescent="0.25"/>
    <row r="223" ht="13.2" hidden="1" x14ac:dyDescent="0.25"/>
    <row r="224" ht="13.2" hidden="1" x14ac:dyDescent="0.25"/>
    <row r="225" ht="13.2" hidden="1" x14ac:dyDescent="0.25"/>
    <row r="226" ht="13.2" hidden="1" x14ac:dyDescent="0.25"/>
    <row r="227" ht="13.2" hidden="1" x14ac:dyDescent="0.25"/>
    <row r="228" ht="13.2" hidden="1" x14ac:dyDescent="0.25"/>
    <row r="229" ht="13.2" hidden="1" x14ac:dyDescent="0.25"/>
    <row r="230" ht="13.2" hidden="1" x14ac:dyDescent="0.25"/>
    <row r="231" ht="13.2" hidden="1" x14ac:dyDescent="0.25"/>
    <row r="232" ht="13.2" hidden="1" x14ac:dyDescent="0.25"/>
    <row r="233" ht="13.2" hidden="1" x14ac:dyDescent="0.25"/>
    <row r="234" ht="13.2" hidden="1" x14ac:dyDescent="0.25"/>
    <row r="235" ht="13.2" hidden="1" x14ac:dyDescent="0.25"/>
    <row r="236" ht="13.2" hidden="1" x14ac:dyDescent="0.25"/>
    <row r="237" ht="13.2" hidden="1" x14ac:dyDescent="0.25"/>
    <row r="238" ht="13.2" hidden="1" x14ac:dyDescent="0.25"/>
    <row r="239" ht="13.2" hidden="1" x14ac:dyDescent="0.25"/>
    <row r="240" ht="13.2" hidden="1" x14ac:dyDescent="0.25"/>
    <row r="241" ht="13.2" hidden="1" x14ac:dyDescent="0.25"/>
    <row r="242" ht="13.2" hidden="1" x14ac:dyDescent="0.25"/>
    <row r="243" ht="13.2" hidden="1" x14ac:dyDescent="0.25"/>
    <row r="244" ht="13.2" hidden="1" x14ac:dyDescent="0.25"/>
    <row r="245" ht="13.2" hidden="1" x14ac:dyDescent="0.25"/>
    <row r="246" ht="13.2" hidden="1" x14ac:dyDescent="0.25"/>
    <row r="247" ht="13.2" hidden="1" x14ac:dyDescent="0.25"/>
    <row r="248" ht="13.2" hidden="1" x14ac:dyDescent="0.25"/>
    <row r="249" ht="13.2" hidden="1" x14ac:dyDescent="0.25"/>
    <row r="250" ht="13.2" hidden="1" x14ac:dyDescent="0.25"/>
    <row r="251" ht="13.2" hidden="1" x14ac:dyDescent="0.25"/>
    <row r="252" ht="13.2" hidden="1" x14ac:dyDescent="0.25"/>
    <row r="253" ht="12.75" hidden="1" customHeight="1" x14ac:dyDescent="0.25"/>
  </sheetData>
  <sheetProtection algorithmName="SHA-512" hashValue="wd0Vi3l8qUmzSjjEIGp8IPzy9XGTzVBdwp1zbTqhgwX23B4OTO4uNZVf12817xX5DqzaStXrEelApoT2aZ/8vQ==" saltValue="jl3TMygwB/kAHijNnPnSrw==" spinCount="100000" sheet="1" selectLockedCells="1" selectUnlockedCells="1"/>
  <mergeCells count="104">
    <mergeCell ref="B107:P107"/>
    <mergeCell ref="B108:P108"/>
    <mergeCell ref="B109:P109"/>
    <mergeCell ref="B110:P110"/>
    <mergeCell ref="B98:P98"/>
    <mergeCell ref="B111:P111"/>
    <mergeCell ref="B93:P93"/>
    <mergeCell ref="B96:P96"/>
    <mergeCell ref="B99:P99"/>
    <mergeCell ref="B100:P100"/>
    <mergeCell ref="B101:P101"/>
    <mergeCell ref="B102:P102"/>
    <mergeCell ref="B103:P103"/>
    <mergeCell ref="B92:P92"/>
    <mergeCell ref="B94:P94"/>
    <mergeCell ref="B95:P95"/>
    <mergeCell ref="B97:P97"/>
    <mergeCell ref="B87:P87"/>
    <mergeCell ref="B89:P89"/>
    <mergeCell ref="B104:P104"/>
    <mergeCell ref="B105:P105"/>
    <mergeCell ref="B106:P106"/>
    <mergeCell ref="B81:P81"/>
    <mergeCell ref="B88:P88"/>
    <mergeCell ref="B90:P90"/>
    <mergeCell ref="B82:P82"/>
    <mergeCell ref="B83:P83"/>
    <mergeCell ref="B84:P84"/>
    <mergeCell ref="B85:P85"/>
    <mergeCell ref="B86:P86"/>
    <mergeCell ref="B91:P91"/>
    <mergeCell ref="B76:P76"/>
    <mergeCell ref="B77:P77"/>
    <mergeCell ref="B78:P78"/>
    <mergeCell ref="B80:P80"/>
    <mergeCell ref="B79:P79"/>
    <mergeCell ref="B62:P62"/>
    <mergeCell ref="B63:P63"/>
    <mergeCell ref="B64:P64"/>
    <mergeCell ref="B65:P65"/>
    <mergeCell ref="B67:P67"/>
    <mergeCell ref="B60:P60"/>
    <mergeCell ref="B47:P47"/>
    <mergeCell ref="B34:P34"/>
    <mergeCell ref="B35:P35"/>
    <mergeCell ref="B36:P36"/>
    <mergeCell ref="B37:P37"/>
    <mergeCell ref="B38:P38"/>
    <mergeCell ref="B74:P74"/>
    <mergeCell ref="B75:P75"/>
    <mergeCell ref="B61:P61"/>
    <mergeCell ref="B48:P48"/>
    <mergeCell ref="B49:P49"/>
    <mergeCell ref="B50:P50"/>
    <mergeCell ref="B51:P51"/>
    <mergeCell ref="B53:P53"/>
    <mergeCell ref="B54:P54"/>
    <mergeCell ref="B55:P55"/>
    <mergeCell ref="B68:P68"/>
    <mergeCell ref="B69:P69"/>
    <mergeCell ref="B70:P70"/>
    <mergeCell ref="B71:P71"/>
    <mergeCell ref="B72:P72"/>
    <mergeCell ref="B73:P73"/>
    <mergeCell ref="B39:P39"/>
    <mergeCell ref="B40:P40"/>
    <mergeCell ref="B41:P41"/>
    <mergeCell ref="B42:P42"/>
    <mergeCell ref="B44:P44"/>
    <mergeCell ref="B45:P45"/>
    <mergeCell ref="B56:P56"/>
    <mergeCell ref="B57:P57"/>
    <mergeCell ref="B59:P59"/>
    <mergeCell ref="B33:P33"/>
    <mergeCell ref="B25:P25"/>
    <mergeCell ref="B26:P26"/>
    <mergeCell ref="B27:P27"/>
    <mergeCell ref="B28:P28"/>
    <mergeCell ref="B29:P29"/>
    <mergeCell ref="B30:P30"/>
    <mergeCell ref="B31:P31"/>
    <mergeCell ref="B32:P32"/>
    <mergeCell ref="B24:P24"/>
    <mergeCell ref="B14:P14"/>
    <mergeCell ref="B15:P15"/>
    <mergeCell ref="B16:P16"/>
    <mergeCell ref="B17:P17"/>
    <mergeCell ref="B18:P18"/>
    <mergeCell ref="B19:P19"/>
    <mergeCell ref="B20:P20"/>
    <mergeCell ref="B21:P21"/>
    <mergeCell ref="B23:P23"/>
    <mergeCell ref="B11:P11"/>
    <mergeCell ref="B12:P12"/>
    <mergeCell ref="B13:P13"/>
    <mergeCell ref="B2:P2"/>
    <mergeCell ref="B3:P3"/>
    <mergeCell ref="B4:P4"/>
    <mergeCell ref="B5:P5"/>
    <mergeCell ref="B6:P6"/>
    <mergeCell ref="B7:P7"/>
    <mergeCell ref="B8:P8"/>
    <mergeCell ref="B9:P9"/>
    <mergeCell ref="B10:P10"/>
  </mergeCells>
  <pageMargins left="0.39970800524934386" right="0.39583223972003501" top="0.5" bottom="0.46354166666666669" header="0" footer="0"/>
  <pageSetup scale="89" fitToHeight="0" orientation="portrait" r:id="rId1"/>
  <headerFooter scaleWithDoc="0">
    <oddHeader>&amp;CPage &amp;P of &amp;N</oddHeader>
    <oddFooter>&amp;CVersion: 7-30-2024</oddFooter>
  </headerFooter>
  <rowBreaks count="3" manualBreakCount="3">
    <brk id="27" max="16" man="1"/>
    <brk id="53" max="16" man="1"/>
    <brk id="89" max="1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N804"/>
  <sheetViews>
    <sheetView view="pageLayout" zoomScaleNormal="100" workbookViewId="0">
      <selection activeCell="H2" sqref="H2:K2"/>
    </sheetView>
  </sheetViews>
  <sheetFormatPr defaultColWidth="0" defaultRowHeight="13.2" zeroHeight="1" outlineLevelCol="1" x14ac:dyDescent="0.25"/>
  <cols>
    <col min="1" max="1" width="0.88671875" customWidth="1"/>
    <col min="2" max="2" width="38.5546875" style="43" customWidth="1"/>
    <col min="3" max="3" width="7.6640625" style="43" customWidth="1"/>
    <col min="4" max="4" width="7.5546875" style="43" customWidth="1"/>
    <col min="5" max="5" width="12.5546875" style="43" customWidth="1"/>
    <col min="6" max="6" width="7.5546875" style="149" customWidth="1"/>
    <col min="7" max="7" width="38.5546875" style="149" customWidth="1" outlineLevel="1"/>
    <col min="8" max="9" width="7.6640625" style="149" customWidth="1" outlineLevel="1"/>
    <col min="10" max="10" width="12.5546875" style="149" customWidth="1" outlineLevel="1"/>
    <col min="11" max="11" width="1" style="149" customWidth="1" outlineLevel="1"/>
    <col min="12" max="12" width="7.44140625" style="149" customWidth="1" outlineLevel="1"/>
    <col min="13" max="13" width="38.5546875" style="149" customWidth="1" outlineLevel="1"/>
    <col min="14" max="15" width="7.44140625" style="149" customWidth="1" outlineLevel="1"/>
    <col min="16" max="16" width="12.5546875" style="149" customWidth="1" outlineLevel="1"/>
    <col min="17" max="17" width="7.5546875" style="149" customWidth="1" outlineLevel="1"/>
    <col min="18" max="18" width="38.5546875" style="149" customWidth="1" outlineLevel="1"/>
    <col min="19" max="19" width="7.33203125" style="149" customWidth="1" outlineLevel="1"/>
    <col min="20" max="20" width="7.44140625" style="149" customWidth="1" outlineLevel="1"/>
    <col min="21" max="21" width="12.5546875" style="149" customWidth="1" outlineLevel="1"/>
    <col min="22" max="22" width="3" style="149" customWidth="1" outlineLevel="1"/>
    <col min="23" max="23" width="7.33203125" style="149" customWidth="1" outlineLevel="1"/>
    <col min="24" max="24" width="38.5546875" style="149" customWidth="1" outlineLevel="1"/>
    <col min="25" max="25" width="7.33203125" style="149" customWidth="1" outlineLevel="1"/>
    <col min="26" max="26" width="7.44140625" style="149" customWidth="1" outlineLevel="1"/>
    <col min="27" max="27" width="12.5546875" style="149" customWidth="1" outlineLevel="1"/>
    <col min="28" max="28" width="1.33203125" style="216" customWidth="1" outlineLevel="1"/>
    <col min="29" max="29" width="5" style="149" hidden="1" customWidth="1" outlineLevel="1" collapsed="1"/>
    <col min="30" max="30" width="11.88671875" style="68" hidden="1" customWidth="1" outlineLevel="1"/>
    <col min="31" max="33" width="12.44140625" style="64" hidden="1" customWidth="1" outlineLevel="1"/>
    <col min="34" max="34" width="11.109375" style="64" hidden="1" customWidth="1" outlineLevel="1"/>
    <col min="35" max="38" width="4.109375" style="57" hidden="1" customWidth="1" outlineLevel="1"/>
    <col min="39" max="39" width="8" style="57" hidden="1" customWidth="1" outlineLevel="1"/>
    <col min="40" max="40" width="10" style="57" hidden="1" customWidth="1" outlineLevel="1"/>
    <col min="41" max="41" width="9.109375" style="57" hidden="1" customWidth="1" outlineLevel="1"/>
    <col min="42" max="42" width="6.44140625" hidden="1" customWidth="1" outlineLevel="1"/>
    <col min="43" max="46" width="8.88671875" hidden="1" customWidth="1" outlineLevel="1"/>
    <col min="47" max="47" width="9.109375" hidden="1" customWidth="1" outlineLevel="1"/>
    <col min="48" max="49" width="9.109375" hidden="1" customWidth="1" outlineLevel="1" collapsed="1"/>
    <col min="50" max="50" width="9.109375" hidden="1" customWidth="1" outlineLevel="1"/>
    <col min="51" max="52" width="9.109375" hidden="1" customWidth="1" outlineLevel="1" collapsed="1"/>
    <col min="53" max="53" width="9.109375" hidden="1" customWidth="1" outlineLevel="1"/>
    <col min="54" max="54" width="9.109375" hidden="1" customWidth="1" outlineLevel="1" collapsed="1"/>
    <col min="55" max="55" width="9.109375" hidden="1" customWidth="1" outlineLevel="1"/>
    <col min="56" max="66" width="9.109375" hidden="1" customWidth="1"/>
    <col min="67" max="16384" width="9.109375" hidden="1" outlineLevel="1"/>
  </cols>
  <sheetData>
    <row r="1" spans="1:45" ht="6.75" customHeight="1" thickBot="1" x14ac:dyDescent="0.3">
      <c r="A1" s="38"/>
      <c r="B1" s="56"/>
      <c r="C1" s="56"/>
      <c r="D1" s="56"/>
      <c r="E1" s="56"/>
      <c r="F1" s="178"/>
      <c r="G1" s="178"/>
      <c r="H1" s="178"/>
      <c r="I1" s="178"/>
      <c r="J1" s="178"/>
      <c r="K1" s="178"/>
      <c r="L1" s="178"/>
      <c r="M1" s="178"/>
      <c r="N1" s="178"/>
      <c r="O1" s="178"/>
      <c r="P1" s="178"/>
      <c r="Q1" s="178"/>
      <c r="R1" s="178"/>
      <c r="S1" s="351"/>
      <c r="T1" s="351"/>
      <c r="U1" s="351"/>
      <c r="V1" s="351"/>
      <c r="W1" s="351"/>
      <c r="X1" s="351"/>
      <c r="Y1" s="351"/>
      <c r="Z1" s="351"/>
      <c r="AA1" s="351"/>
    </row>
    <row r="2" spans="1:45" ht="51.75" customHeight="1" thickTop="1" x14ac:dyDescent="0.25">
      <c r="A2" s="38"/>
      <c r="B2" s="339" t="s">
        <v>575</v>
      </c>
      <c r="C2" s="931"/>
      <c r="D2" s="931"/>
      <c r="E2" s="931"/>
      <c r="F2" s="931"/>
      <c r="G2" s="931"/>
      <c r="H2" s="929" t="s">
        <v>247</v>
      </c>
      <c r="I2" s="929"/>
      <c r="J2" s="929"/>
      <c r="K2" s="929"/>
      <c r="L2" s="268" t="s">
        <v>43</v>
      </c>
      <c r="M2" s="338"/>
      <c r="N2" s="268" t="s">
        <v>44</v>
      </c>
      <c r="O2" s="930"/>
      <c r="P2" s="930"/>
      <c r="Q2" s="930"/>
      <c r="R2" s="340" t="s">
        <v>94</v>
      </c>
      <c r="S2" s="940"/>
      <c r="T2" s="941"/>
      <c r="U2" s="941"/>
      <c r="V2" s="941"/>
      <c r="W2" s="942"/>
      <c r="X2" s="341" t="s">
        <v>53</v>
      </c>
      <c r="Y2" s="926"/>
      <c r="Z2" s="927"/>
      <c r="AA2" s="928"/>
      <c r="AB2" s="349"/>
      <c r="AC2" s="180"/>
      <c r="AD2" s="82"/>
      <c r="AF2" s="65"/>
    </row>
    <row r="3" spans="1:45" ht="53.25" customHeight="1" x14ac:dyDescent="0.25">
      <c r="A3" s="38"/>
      <c r="B3" s="943" t="s">
        <v>137</v>
      </c>
      <c r="C3" s="944"/>
      <c r="D3" s="944"/>
      <c r="E3" s="944"/>
      <c r="F3" s="945"/>
      <c r="G3" s="932"/>
      <c r="H3" s="933"/>
      <c r="I3" s="933"/>
      <c r="J3" s="933"/>
      <c r="K3" s="933"/>
      <c r="L3" s="934"/>
      <c r="M3" s="935" t="s">
        <v>248</v>
      </c>
      <c r="N3" s="935"/>
      <c r="O3" s="935"/>
      <c r="P3" s="935"/>
      <c r="Q3" s="936"/>
      <c r="R3" s="937" t="s">
        <v>487</v>
      </c>
      <c r="S3" s="937"/>
      <c r="T3" s="937"/>
      <c r="U3" s="937"/>
      <c r="V3" s="938"/>
      <c r="W3" s="938"/>
      <c r="X3" s="616" t="s">
        <v>39</v>
      </c>
      <c r="Y3" s="946"/>
      <c r="Z3" s="947"/>
      <c r="AA3" s="948"/>
      <c r="AB3" s="179"/>
      <c r="AC3" s="180"/>
      <c r="AD3" s="83"/>
      <c r="AF3" s="66"/>
    </row>
    <row r="4" spans="1:45" ht="30.75" customHeight="1" x14ac:dyDescent="0.25">
      <c r="A4" s="38"/>
      <c r="B4" s="103" t="s">
        <v>183</v>
      </c>
      <c r="C4" s="939">
        <v>100</v>
      </c>
      <c r="D4" s="939"/>
      <c r="E4" s="949" t="s">
        <v>25</v>
      </c>
      <c r="F4" s="950"/>
      <c r="G4" s="953" t="s">
        <v>125</v>
      </c>
      <c r="H4" s="955" t="s">
        <v>249</v>
      </c>
      <c r="I4" s="956"/>
      <c r="J4" s="956"/>
      <c r="K4" s="957"/>
      <c r="L4" s="961" t="s">
        <v>43</v>
      </c>
      <c r="M4" s="963"/>
      <c r="N4" s="961" t="s">
        <v>44</v>
      </c>
      <c r="O4" s="966"/>
      <c r="P4" s="967"/>
      <c r="Q4" s="968"/>
      <c r="R4" s="972" t="s">
        <v>270</v>
      </c>
      <c r="S4" s="953"/>
      <c r="T4" s="953"/>
      <c r="U4" s="953"/>
      <c r="V4" s="953"/>
      <c r="W4" s="974"/>
      <c r="X4" s="276" t="s">
        <v>254</v>
      </c>
      <c r="Y4" s="978">
        <v>100</v>
      </c>
      <c r="Z4" s="979"/>
      <c r="AA4" s="980"/>
      <c r="AB4" s="164"/>
      <c r="AC4" s="180"/>
      <c r="AD4" s="83" t="b">
        <f>IF(OR('Stream Parts I-II'!Y4="n/a",'Stream Parts I-II'!Y4="N/A",'Stream Parts I-II'!Y4="na",'Stream Parts I-II'!Y4="NA",'Stream Parts I-II'!Y4=0,'Stream Parts I-II'!Y4=""),FALSE,TRUE)</f>
        <v>1</v>
      </c>
      <c r="AF4" s="104"/>
    </row>
    <row r="5" spans="1:45" ht="30.75" customHeight="1" thickBot="1" x14ac:dyDescent="0.3">
      <c r="A5" s="38"/>
      <c r="B5" s="421" t="s">
        <v>421</v>
      </c>
      <c r="C5" s="977"/>
      <c r="D5" s="977"/>
      <c r="E5" s="951"/>
      <c r="F5" s="952"/>
      <c r="G5" s="954"/>
      <c r="H5" s="958"/>
      <c r="I5" s="959"/>
      <c r="J5" s="959"/>
      <c r="K5" s="960"/>
      <c r="L5" s="962"/>
      <c r="M5" s="964"/>
      <c r="N5" s="965"/>
      <c r="O5" s="969"/>
      <c r="P5" s="970"/>
      <c r="Q5" s="971"/>
      <c r="R5" s="973"/>
      <c r="S5" s="975"/>
      <c r="T5" s="975"/>
      <c r="U5" s="975"/>
      <c r="V5" s="975"/>
      <c r="W5" s="976"/>
      <c r="X5" s="420" t="s">
        <v>420</v>
      </c>
      <c r="Y5" s="981"/>
      <c r="Z5" s="982"/>
      <c r="AA5" s="983"/>
      <c r="AB5" s="164"/>
      <c r="AC5" s="180"/>
      <c r="AD5" s="84" t="str">
        <f>IF(AND(B13=AD3,C8&lt;4),"False",IF(AND(B13=AD4,C8&gt;=4),"False",""))</f>
        <v/>
      </c>
      <c r="AF5" s="66"/>
    </row>
    <row r="6" spans="1:45" ht="55.2" customHeight="1" thickTop="1" thickBot="1" x14ac:dyDescent="0.3">
      <c r="A6" s="38"/>
      <c r="B6" s="885" t="s">
        <v>52</v>
      </c>
      <c r="C6" s="886"/>
      <c r="D6" s="886"/>
      <c r="E6" s="887"/>
      <c r="F6" s="131"/>
      <c r="G6" s="882" t="s">
        <v>78</v>
      </c>
      <c r="H6" s="883"/>
      <c r="I6" s="883"/>
      <c r="J6" s="884"/>
      <c r="K6" s="888"/>
      <c r="L6" s="888"/>
      <c r="M6" s="882" t="s">
        <v>139</v>
      </c>
      <c r="N6" s="883"/>
      <c r="O6" s="883"/>
      <c r="P6" s="884"/>
      <c r="Q6" s="270"/>
      <c r="R6" s="882" t="s">
        <v>140</v>
      </c>
      <c r="S6" s="883"/>
      <c r="T6" s="883"/>
      <c r="U6" s="884"/>
      <c r="V6" s="271"/>
      <c r="W6" s="272"/>
      <c r="X6" s="1033" t="s">
        <v>141</v>
      </c>
      <c r="Y6" s="1034"/>
      <c r="Z6" s="1034"/>
      <c r="AA6" s="1035"/>
      <c r="AB6" s="164"/>
      <c r="AC6" s="180"/>
      <c r="AD6" s="186" t="s">
        <v>146</v>
      </c>
      <c r="AE6" s="194" t="s">
        <v>149</v>
      </c>
      <c r="AF6" s="194" t="s">
        <v>148</v>
      </c>
      <c r="AG6" s="194" t="s">
        <v>150</v>
      </c>
      <c r="AH6" s="194" t="s">
        <v>147</v>
      </c>
    </row>
    <row r="7" spans="1:45" ht="31.95" customHeight="1" thickTop="1" x14ac:dyDescent="0.25">
      <c r="A7" s="38"/>
      <c r="B7" s="113" t="s">
        <v>138</v>
      </c>
      <c r="C7" s="917" t="s">
        <v>60</v>
      </c>
      <c r="D7" s="918"/>
      <c r="E7" s="919"/>
      <c r="F7" s="524"/>
      <c r="G7" s="113" t="s">
        <v>138</v>
      </c>
      <c r="H7" s="917" t="s">
        <v>60</v>
      </c>
      <c r="I7" s="918"/>
      <c r="J7" s="919"/>
      <c r="K7" s="134"/>
      <c r="L7" s="134"/>
      <c r="M7" s="269" t="s">
        <v>138</v>
      </c>
      <c r="N7" s="1036" t="str">
        <f>H7</f>
        <v>Perennial</v>
      </c>
      <c r="O7" s="1037"/>
      <c r="P7" s="1038"/>
      <c r="Q7" s="132"/>
      <c r="R7" s="113" t="s">
        <v>138</v>
      </c>
      <c r="S7" s="1039" t="str">
        <f>H7</f>
        <v>Perennial</v>
      </c>
      <c r="T7" s="1040"/>
      <c r="U7" s="1041"/>
      <c r="V7" s="133"/>
      <c r="W7" s="132"/>
      <c r="X7" s="113" t="s">
        <v>138</v>
      </c>
      <c r="Y7" s="1039" t="str">
        <f>H7</f>
        <v>Perennial</v>
      </c>
      <c r="Z7" s="1040"/>
      <c r="AA7" s="1041"/>
      <c r="AB7" s="164"/>
      <c r="AC7" s="180"/>
      <c r="AD7" s="185"/>
      <c r="AE7" s="195"/>
      <c r="AF7" s="196"/>
      <c r="AG7" s="195"/>
      <c r="AH7" s="195"/>
    </row>
    <row r="8" spans="1:45" ht="30.6" customHeight="1" thickBot="1" x14ac:dyDescent="0.3">
      <c r="A8" s="38"/>
      <c r="B8" s="114" t="str">
        <f>IF(C8="","Enter Percent Stream Channel Slope (0 or greater).","Percent Stream Channel Slope:")</f>
        <v>Percent Stream Channel Slope:</v>
      </c>
      <c r="C8" s="901">
        <v>5</v>
      </c>
      <c r="D8" s="901"/>
      <c r="E8" s="902"/>
      <c r="F8" s="524"/>
      <c r="G8" s="114" t="str">
        <f>IF(H8="","Enter Percent Stream Channel Slope (0 or greater).","Percent Stream Channel Slope:")</f>
        <v>Percent Stream Channel Slope:</v>
      </c>
      <c r="H8" s="901">
        <v>5</v>
      </c>
      <c r="I8" s="901"/>
      <c r="J8" s="902"/>
      <c r="K8" s="134"/>
      <c r="L8" s="134"/>
      <c r="M8" s="114" t="str">
        <f>IF(N8="","Enter Percent Stream Channel Slope (0 or greater).","Percent Stream Channel Slope:")</f>
        <v>Percent Stream Channel Slope:</v>
      </c>
      <c r="N8" s="924">
        <f>IF(H8="","",H8)</f>
        <v>5</v>
      </c>
      <c r="O8" s="924"/>
      <c r="P8" s="925"/>
      <c r="Q8" s="132"/>
      <c r="R8" s="114" t="str">
        <f>IF(S8="","Enter Percent Stream Channel Slope (0 or greater).","Percent Stream Channel Slope:")</f>
        <v>Percent Stream Channel Slope:</v>
      </c>
      <c r="S8" s="924">
        <f>IF(H8="","",H8)</f>
        <v>5</v>
      </c>
      <c r="T8" s="924"/>
      <c r="U8" s="925"/>
      <c r="V8" s="133"/>
      <c r="W8" s="132"/>
      <c r="X8" s="114" t="str">
        <f>IF(Y8="","Enter Percent Stream Channel Slope (0 or greater).","Percent Stream Channel Slope:")</f>
        <v>Percent Stream Channel Slope:</v>
      </c>
      <c r="Y8" s="924">
        <f>IF(H8="","",H8)</f>
        <v>5</v>
      </c>
      <c r="Z8" s="924"/>
      <c r="AA8" s="925"/>
      <c r="AB8" s="164"/>
      <c r="AC8" s="180"/>
      <c r="AD8" s="185"/>
      <c r="AE8" s="195"/>
      <c r="AF8" s="196"/>
      <c r="AG8" s="195"/>
      <c r="AH8" s="195"/>
    </row>
    <row r="9" spans="1:45" s="112" customFormat="1" ht="30.6" hidden="1" customHeight="1" thickBot="1" x14ac:dyDescent="0.3">
      <c r="A9" s="110"/>
      <c r="B9" s="414" t="s">
        <v>224</v>
      </c>
      <c r="C9" s="898" t="s">
        <v>200</v>
      </c>
      <c r="D9" s="899"/>
      <c r="E9" s="900"/>
      <c r="F9" s="525"/>
      <c r="G9" s="414" t="s">
        <v>224</v>
      </c>
      <c r="H9" s="898" t="s">
        <v>200</v>
      </c>
      <c r="I9" s="899"/>
      <c r="J9" s="900"/>
      <c r="K9" s="134"/>
      <c r="L9" s="134"/>
      <c r="M9" s="414" t="s">
        <v>224</v>
      </c>
      <c r="N9" s="921" t="str">
        <f>IF(H9="","",H9)</f>
        <v>Select an Ecoregion</v>
      </c>
      <c r="O9" s="922"/>
      <c r="P9" s="923"/>
      <c r="Q9" s="135"/>
      <c r="R9" s="414" t="s">
        <v>224</v>
      </c>
      <c r="S9" s="921" t="str">
        <f>IF(H9="","",H9)</f>
        <v>Select an Ecoregion</v>
      </c>
      <c r="T9" s="922"/>
      <c r="U9" s="923"/>
      <c r="V9" s="136"/>
      <c r="W9" s="135"/>
      <c r="X9" s="414" t="s">
        <v>224</v>
      </c>
      <c r="Y9" s="921" t="str">
        <f>IF(H9="","",H9)</f>
        <v>Select an Ecoregion</v>
      </c>
      <c r="Z9" s="922"/>
      <c r="AA9" s="923"/>
      <c r="AB9" s="236"/>
      <c r="AC9" s="181"/>
      <c r="AD9" s="185"/>
      <c r="AE9" s="195"/>
      <c r="AF9" s="196"/>
      <c r="AG9" s="195"/>
      <c r="AH9" s="195"/>
      <c r="AI9" s="104"/>
      <c r="AJ9" s="111"/>
      <c r="AK9" s="111"/>
      <c r="AL9" s="111"/>
      <c r="AM9" s="65"/>
      <c r="AN9" s="104"/>
      <c r="AO9" s="104"/>
    </row>
    <row r="10" spans="1:45" ht="38.4" customHeight="1" thickTop="1" thickBot="1" x14ac:dyDescent="0.3">
      <c r="A10" s="38"/>
      <c r="B10" s="914" t="s">
        <v>228</v>
      </c>
      <c r="C10" s="915"/>
      <c r="D10" s="915"/>
      <c r="E10" s="916"/>
      <c r="F10" s="524"/>
      <c r="G10" s="914" t="s">
        <v>228</v>
      </c>
      <c r="H10" s="915"/>
      <c r="I10" s="915"/>
      <c r="J10" s="916"/>
      <c r="K10" s="134"/>
      <c r="L10" s="134"/>
      <c r="M10" s="914" t="s">
        <v>228</v>
      </c>
      <c r="N10" s="915"/>
      <c r="O10" s="915"/>
      <c r="P10" s="916"/>
      <c r="Q10" s="132"/>
      <c r="R10" s="914" t="s">
        <v>228</v>
      </c>
      <c r="S10" s="915"/>
      <c r="T10" s="915"/>
      <c r="U10" s="916"/>
      <c r="V10" s="133"/>
      <c r="W10" s="132"/>
      <c r="X10" s="914" t="s">
        <v>228</v>
      </c>
      <c r="Y10" s="915"/>
      <c r="Z10" s="915"/>
      <c r="AA10" s="916"/>
      <c r="AB10" s="164"/>
      <c r="AC10" s="180"/>
      <c r="AD10" s="403" t="s">
        <v>370</v>
      </c>
      <c r="AE10" s="195"/>
      <c r="AF10" s="196"/>
      <c r="AG10" s="195"/>
      <c r="AH10" s="195"/>
      <c r="AI10" s="85"/>
      <c r="AJ10" s="86"/>
      <c r="AK10" s="86"/>
      <c r="AL10" s="85"/>
      <c r="AM10" s="92"/>
    </row>
    <row r="11" spans="1:45" ht="15" customHeight="1" x14ac:dyDescent="0.25">
      <c r="A11" s="38"/>
      <c r="B11" s="895" t="s">
        <v>185</v>
      </c>
      <c r="C11" s="896"/>
      <c r="D11" s="896"/>
      <c r="E11" s="897"/>
      <c r="F11" s="524"/>
      <c r="G11" s="895" t="s">
        <v>185</v>
      </c>
      <c r="H11" s="896"/>
      <c r="I11" s="896"/>
      <c r="J11" s="897"/>
      <c r="K11" s="134"/>
      <c r="L11" s="134"/>
      <c r="M11" s="895" t="s">
        <v>185</v>
      </c>
      <c r="N11" s="896"/>
      <c r="O11" s="896"/>
      <c r="P11" s="897"/>
      <c r="Q11" s="132"/>
      <c r="R11" s="895" t="s">
        <v>185</v>
      </c>
      <c r="S11" s="896"/>
      <c r="T11" s="896"/>
      <c r="U11" s="897"/>
      <c r="V11" s="133"/>
      <c r="W11" s="132"/>
      <c r="X11" s="895" t="s">
        <v>185</v>
      </c>
      <c r="Y11" s="896"/>
      <c r="Z11" s="896"/>
      <c r="AA11" s="897"/>
      <c r="AB11" s="164"/>
      <c r="AC11" s="180"/>
      <c r="AD11" s="185" t="s">
        <v>252</v>
      </c>
      <c r="AE11" s="197" t="s">
        <v>252</v>
      </c>
      <c r="AF11" s="195"/>
      <c r="AG11" s="195"/>
      <c r="AH11" s="195"/>
      <c r="AJ11" s="59"/>
      <c r="AK11" s="59" t="s">
        <v>49</v>
      </c>
      <c r="AL11" s="59"/>
      <c r="AM11" s="60"/>
    </row>
    <row r="12" spans="1:45" ht="29.4" customHeight="1" x14ac:dyDescent="0.25">
      <c r="A12" s="38"/>
      <c r="B12" s="868" t="str">
        <f>IF(AND(C7='Lists and Arrays'!B16,C8&gt;4),"Please check data. Perennial streams are generally defined as ≤4%.  HGM is not applicable for perennial streams &gt;4% slope.",IF(AND(C8&lt;=4,OR(C7='Lists and Arrays'!B14, C7='Lists and Arrays'!B15)),"HGM is not applicable for ephemeral or intermittent streams with ≤4% slope.",""))</f>
        <v>Please check data. Perennial streams are generally defined as ≤4%.  HGM is not applicable for perennial streams &gt;4% slope.</v>
      </c>
      <c r="C12" s="869"/>
      <c r="D12" s="869"/>
      <c r="E12" s="870"/>
      <c r="F12" s="524"/>
      <c r="G12" s="868" t="str">
        <f>IF(AND($H$7='Lists and Arrays'!$B$16,$H$8&gt;4),"Please check data. Perennial streams are generally defined as ≤4%.  HGM is not applicable for perennial streams &gt;4% slope.",IF(AND($H$8&lt;=4,OR($H$7='Lists and Arrays'!$B$14, H7='Lists and Arrays'!$B$15)),"HGM is not applicable for ephemeral or intermittent streams with ≤4% slope.",""))</f>
        <v>Please check data. Perennial streams are generally defined as ≤4%.  HGM is not applicable for perennial streams &gt;4% slope.</v>
      </c>
      <c r="H12" s="869"/>
      <c r="I12" s="869"/>
      <c r="J12" s="870"/>
      <c r="K12" s="134"/>
      <c r="L12" s="134"/>
      <c r="M12" s="868" t="str">
        <f>IF(AND($H$7='Lists and Arrays'!$B$16,$H$8&gt;4),"Please check data. Perennial streams are generally defined as ≤4%.  HGM is not applicable for perennial streams &gt;4% slope.",IF(AND($H$8&lt;=4,OR($H$7='Lists and Arrays'!$B$14, H7='Lists and Arrays'!$B$15)),"HGM is not applicable for ephemeral or intermittent streams with ≤4% slope.",""))</f>
        <v>Please check data. Perennial streams are generally defined as ≤4%.  HGM is not applicable for perennial streams &gt;4% slope.</v>
      </c>
      <c r="N12" s="869"/>
      <c r="O12" s="869"/>
      <c r="P12" s="870"/>
      <c r="Q12" s="132"/>
      <c r="R12" s="868" t="str">
        <f>IF(AND($H$7='Lists and Arrays'!$B$16,$H$8&gt;4),"Please check data. Perennial streams are generally defined as ≤4%.  HGM is not applicable for perennial streams &gt;4% slope.",IF(AND($H$8&lt;=4,OR($H$7='Lists and Arrays'!$B$14, H7='Lists and Arrays'!$B$15)),"HGM is not applicable for ephemeral or intermittent streams with ≤4% slope.",""))</f>
        <v>Please check data. Perennial streams are generally defined as ≤4%.  HGM is not applicable for perennial streams &gt;4% slope.</v>
      </c>
      <c r="S12" s="869"/>
      <c r="T12" s="869"/>
      <c r="U12" s="870"/>
      <c r="V12" s="133"/>
      <c r="W12" s="132"/>
      <c r="X12" s="868" t="str">
        <f>IF(AND($H$7='Lists and Arrays'!$B$16,$H$8&gt;4),"Please check data. Perennial streams are generally defined as ≤4%.  HGM is not applicable for perennial streams &gt;4% slope.",IF(AND($H$8&lt;=4,OR($H$7='Lists and Arrays'!$B$14, H7='Lists and Arrays'!$B$15)),"HGM is not applicable for ephemeral or intermittent streams with ≤4% slope.",""))</f>
        <v>Please check data. Perennial streams are generally defined as ≤4%.  HGM is not applicable for perennial streams &gt;4% slope.</v>
      </c>
      <c r="Y12" s="869"/>
      <c r="Z12" s="869"/>
      <c r="AA12" s="870"/>
      <c r="AB12" s="164"/>
      <c r="AC12" s="180"/>
      <c r="AD12" s="187" t="b">
        <v>0</v>
      </c>
      <c r="AE12" s="198" t="b">
        <v>0</v>
      </c>
      <c r="AF12" s="195"/>
      <c r="AG12" s="195"/>
      <c r="AH12" s="195"/>
      <c r="AJ12" s="59"/>
      <c r="AK12" s="59"/>
      <c r="AL12" s="59"/>
      <c r="AM12" s="60"/>
    </row>
    <row r="13" spans="1:45" ht="30.6" customHeight="1" x14ac:dyDescent="0.25">
      <c r="A13" s="38"/>
      <c r="B13" s="906" t="str">
        <f>IF(OR(C7='Lists and Arrays'!B14,C7='Lists and Arrays'!B15),'Lists and Arrays'!B19,IF(C7='Lists and Arrays'!B16,'Lists and Arrays'!B20,"Select a Stream Classification"))</f>
        <v>Low-Gradient Perennial Streams</v>
      </c>
      <c r="C13" s="907"/>
      <c r="D13" s="907"/>
      <c r="E13" s="908"/>
      <c r="F13" s="524"/>
      <c r="G13" s="903" t="str">
        <f>IF(OR(H7='Lists and Arrays'!B14,H7='Lists and Arrays'!B15),'Lists and Arrays'!B19,IF(H7='Lists and Arrays'!B16,'Lists and Arrays'!B20,"Select a Stream Classification"))</f>
        <v>Low-Gradient Perennial Streams</v>
      </c>
      <c r="H13" s="904"/>
      <c r="I13" s="904"/>
      <c r="J13" s="905"/>
      <c r="K13" s="134"/>
      <c r="L13" s="134"/>
      <c r="M13" s="903" t="str">
        <f>G13</f>
        <v>Low-Gradient Perennial Streams</v>
      </c>
      <c r="N13" s="904"/>
      <c r="O13" s="904"/>
      <c r="P13" s="905"/>
      <c r="Q13" s="132"/>
      <c r="R13" s="903" t="str">
        <f>G13</f>
        <v>Low-Gradient Perennial Streams</v>
      </c>
      <c r="S13" s="904"/>
      <c r="T13" s="904"/>
      <c r="U13" s="905"/>
      <c r="V13" s="133"/>
      <c r="W13" s="132"/>
      <c r="X13" s="903" t="str">
        <f>G13</f>
        <v>Low-Gradient Perennial Streams</v>
      </c>
      <c r="Y13" s="904"/>
      <c r="Z13" s="904"/>
      <c r="AA13" s="905"/>
      <c r="AB13" s="164"/>
      <c r="AC13" s="180"/>
      <c r="AD13" s="185"/>
      <c r="AE13" s="195"/>
      <c r="AF13" s="195"/>
      <c r="AG13" s="195"/>
      <c r="AH13" s="195"/>
      <c r="AJ13" s="6" t="s">
        <v>36</v>
      </c>
      <c r="AK13" s="6" t="s">
        <v>124</v>
      </c>
      <c r="AL13" s="54"/>
      <c r="AM13" s="61"/>
    </row>
    <row r="14" spans="1:45" ht="20.25" customHeight="1" x14ac:dyDescent="0.25">
      <c r="A14" s="38"/>
      <c r="B14" s="874"/>
      <c r="C14" s="875"/>
      <c r="D14" s="876"/>
      <c r="E14" s="300" t="s">
        <v>95</v>
      </c>
      <c r="F14" s="524"/>
      <c r="G14" s="874" t="str">
        <f>IF(AND(AE12=FALSE,G4="Establishment"),"Set to 0 for Establishment baseline.","")</f>
        <v/>
      </c>
      <c r="H14" s="875"/>
      <c r="I14" s="876"/>
      <c r="J14" s="300" t="s">
        <v>95</v>
      </c>
      <c r="K14" s="134"/>
      <c r="L14" s="134"/>
      <c r="M14" s="874"/>
      <c r="N14" s="875"/>
      <c r="O14" s="876"/>
      <c r="P14" s="300" t="s">
        <v>95</v>
      </c>
      <c r="Q14" s="132"/>
      <c r="R14" s="874"/>
      <c r="S14" s="875"/>
      <c r="T14" s="876"/>
      <c r="U14" s="300" t="s">
        <v>95</v>
      </c>
      <c r="V14" s="133"/>
      <c r="W14" s="132"/>
      <c r="X14" s="874"/>
      <c r="Y14" s="875"/>
      <c r="Z14" s="876"/>
      <c r="AA14" s="300" t="s">
        <v>95</v>
      </c>
      <c r="AB14" s="164"/>
      <c r="AC14" s="180"/>
      <c r="AD14" s="185"/>
      <c r="AE14" s="195"/>
      <c r="AF14" s="195"/>
      <c r="AG14" s="195"/>
      <c r="AH14" s="195"/>
      <c r="AJ14" s="6" t="s">
        <v>37</v>
      </c>
      <c r="AK14" s="6" t="s">
        <v>125</v>
      </c>
      <c r="AL14" s="54"/>
      <c r="AM14" s="61"/>
    </row>
    <row r="15" spans="1:45" ht="13.8" x14ac:dyDescent="0.25">
      <c r="A15" s="38"/>
      <c r="B15" s="26" t="s">
        <v>151</v>
      </c>
      <c r="C15" s="858">
        <v>1</v>
      </c>
      <c r="D15" s="858"/>
      <c r="E15" s="872" t="str">
        <f>IF('Lists and Arrays'!$A$18="No HGM","N/A",IF(AND(C15="", C16="",C17=""),"",IF(OR(C15="", C16="",C17=""),"Check Data",ROUND((C15+C16+C17)/3,3))))</f>
        <v>N/A</v>
      </c>
      <c r="F15" s="524"/>
      <c r="G15" s="26" t="s">
        <v>151</v>
      </c>
      <c r="H15" s="858">
        <v>0.1</v>
      </c>
      <c r="I15" s="858"/>
      <c r="J15" s="872" t="str">
        <f>IF('Lists and Arrays'!$A$20="No HGM","N/A",IF(AE12=TRUE,"N/A",IF(G4="Establishment",0,IF(AND(H15="", H16="",H17=""),"",IF(OR(H15="", H16="",H17=""),"Check Data",ROUND((H15+H16+H17)/3,3))))))</f>
        <v>N/A</v>
      </c>
      <c r="K15" s="134"/>
      <c r="L15" s="134"/>
      <c r="M15" s="26" t="s">
        <v>151</v>
      </c>
      <c r="N15" s="858">
        <v>0.2</v>
      </c>
      <c r="O15" s="858"/>
      <c r="P15" s="872" t="str">
        <f>IF('Lists and Arrays'!$A$20="No HGM","N/A",IF(AE12=TRUE,"N/A",IF(AND(N15="", N16="",N17=""),"",IF(OR(N15="", N16="",N17=""),"Check Data",ROUND((N15+N16+N17)/3,3)))))</f>
        <v>N/A</v>
      </c>
      <c r="Q15" s="132"/>
      <c r="R15" s="26" t="s">
        <v>151</v>
      </c>
      <c r="S15" s="858">
        <v>0.5</v>
      </c>
      <c r="T15" s="858"/>
      <c r="U15" s="872" t="str">
        <f>IF('Lists and Arrays'!$A$20="No HGM","N/A",IF(AE12=TRUE,"N/A",IF(AND(S15="", S16="",S17=""),"",IF(OR(S15="", S16="",S17=""),"Check Data",ROUND((S15+S16+S17)/3,3)))))</f>
        <v>N/A</v>
      </c>
      <c r="V15" s="133"/>
      <c r="W15" s="132"/>
      <c r="X15" s="26" t="s">
        <v>151</v>
      </c>
      <c r="Y15" s="858">
        <v>0.8</v>
      </c>
      <c r="Z15" s="858"/>
      <c r="AA15" s="872" t="str">
        <f>IF('Lists and Arrays'!$A$20="No HGM","N/A",IF(AE12=TRUE,"N/A",IF(AND(Y15="", Y16="",Y17=""),"",IF(OR(Y15="", Y16="",Y17=""),"Check Data",ROUND((Y15+Y16+Y17)/3,3)))))</f>
        <v>N/A</v>
      </c>
      <c r="AB15" s="164"/>
      <c r="AC15" s="180"/>
      <c r="AD15" s="185"/>
      <c r="AE15" s="195"/>
      <c r="AF15" s="195"/>
      <c r="AG15" s="195"/>
      <c r="AH15" s="195"/>
      <c r="AJ15" s="6" t="s">
        <v>38</v>
      </c>
      <c r="AK15" s="55" t="s">
        <v>142</v>
      </c>
      <c r="AL15" s="54"/>
      <c r="AM15" s="7"/>
    </row>
    <row r="16" spans="1:45" ht="13.8" x14ac:dyDescent="0.25">
      <c r="A16" s="38"/>
      <c r="B16" s="26" t="s">
        <v>152</v>
      </c>
      <c r="C16" s="858">
        <v>1</v>
      </c>
      <c r="D16" s="858"/>
      <c r="E16" s="872"/>
      <c r="F16" s="524"/>
      <c r="G16" s="26" t="s">
        <v>152</v>
      </c>
      <c r="H16" s="858">
        <v>0.1</v>
      </c>
      <c r="I16" s="858"/>
      <c r="J16" s="872"/>
      <c r="K16" s="134"/>
      <c r="L16" s="134"/>
      <c r="M16" s="26" t="s">
        <v>152</v>
      </c>
      <c r="N16" s="858">
        <v>0.2</v>
      </c>
      <c r="O16" s="858"/>
      <c r="P16" s="872"/>
      <c r="Q16" s="132"/>
      <c r="R16" s="26" t="s">
        <v>152</v>
      </c>
      <c r="S16" s="858">
        <v>0.5</v>
      </c>
      <c r="T16" s="858"/>
      <c r="U16" s="872"/>
      <c r="V16" s="133"/>
      <c r="W16" s="132"/>
      <c r="X16" s="26" t="s">
        <v>152</v>
      </c>
      <c r="Y16" s="858">
        <v>0.8</v>
      </c>
      <c r="Z16" s="858"/>
      <c r="AA16" s="872"/>
      <c r="AB16" s="164"/>
      <c r="AC16" s="180"/>
      <c r="AD16" s="185"/>
      <c r="AE16" s="195"/>
      <c r="AF16" s="195"/>
      <c r="AG16" s="195"/>
      <c r="AH16" s="195"/>
      <c r="AI16" s="85"/>
      <c r="AJ16" s="86" t="s">
        <v>32</v>
      </c>
      <c r="AK16" s="87" t="s">
        <v>126</v>
      </c>
      <c r="AL16" s="85"/>
      <c r="AM16" s="88"/>
      <c r="AN16" s="85"/>
      <c r="AO16" s="85"/>
      <c r="AP16" s="89"/>
      <c r="AQ16" s="89"/>
      <c r="AR16" s="89"/>
      <c r="AS16" s="89"/>
    </row>
    <row r="17" spans="1:46" ht="14.4" thickBot="1" x14ac:dyDescent="0.3">
      <c r="A17" s="38"/>
      <c r="B17" s="116" t="s">
        <v>153</v>
      </c>
      <c r="C17" s="871">
        <v>1</v>
      </c>
      <c r="D17" s="871"/>
      <c r="E17" s="873"/>
      <c r="F17" s="526"/>
      <c r="G17" s="116" t="s">
        <v>153</v>
      </c>
      <c r="H17" s="871">
        <v>0.1</v>
      </c>
      <c r="I17" s="871"/>
      <c r="J17" s="873"/>
      <c r="K17" s="138"/>
      <c r="L17" s="137"/>
      <c r="M17" s="116" t="s">
        <v>153</v>
      </c>
      <c r="N17" s="871">
        <v>0.2</v>
      </c>
      <c r="O17" s="871"/>
      <c r="P17" s="873"/>
      <c r="Q17" s="132"/>
      <c r="R17" s="116" t="s">
        <v>153</v>
      </c>
      <c r="S17" s="871">
        <v>0.2</v>
      </c>
      <c r="T17" s="871"/>
      <c r="U17" s="873"/>
      <c r="V17" s="132"/>
      <c r="W17" s="132"/>
      <c r="X17" s="116" t="s">
        <v>153</v>
      </c>
      <c r="Y17" s="871">
        <v>0.4</v>
      </c>
      <c r="Z17" s="871"/>
      <c r="AA17" s="873"/>
      <c r="AB17" s="164"/>
      <c r="AC17" s="180"/>
      <c r="AD17" s="185"/>
      <c r="AE17" s="195"/>
      <c r="AF17" s="195"/>
      <c r="AG17" s="195"/>
      <c r="AH17" s="195"/>
      <c r="AI17" s="85"/>
      <c r="AJ17" s="85"/>
      <c r="AK17" s="85"/>
      <c r="AL17" s="85"/>
      <c r="AM17" s="90"/>
      <c r="AN17" s="91"/>
      <c r="AO17" s="85"/>
      <c r="AP17" s="85"/>
      <c r="AQ17" s="85"/>
      <c r="AR17" s="85"/>
      <c r="AS17" s="85"/>
      <c r="AT17" s="57"/>
    </row>
    <row r="18" spans="1:46" ht="38.4" customHeight="1" thickTop="1" x14ac:dyDescent="0.25">
      <c r="A18" s="38"/>
      <c r="B18" s="889" t="s">
        <v>422</v>
      </c>
      <c r="C18" s="890"/>
      <c r="D18" s="890"/>
      <c r="E18" s="891"/>
      <c r="F18" s="527"/>
      <c r="G18" s="841" t="s">
        <v>481</v>
      </c>
      <c r="H18" s="842"/>
      <c r="I18" s="842"/>
      <c r="J18" s="843"/>
      <c r="K18" s="139"/>
      <c r="L18" s="132"/>
      <c r="M18" s="841" t="s">
        <v>422</v>
      </c>
      <c r="N18" s="842"/>
      <c r="O18" s="842"/>
      <c r="P18" s="843"/>
      <c r="Q18" s="132"/>
      <c r="R18" s="841" t="s">
        <v>481</v>
      </c>
      <c r="S18" s="842"/>
      <c r="T18" s="842"/>
      <c r="U18" s="843"/>
      <c r="V18" s="132"/>
      <c r="W18" s="132"/>
      <c r="X18" s="841" t="s">
        <v>481</v>
      </c>
      <c r="Y18" s="842"/>
      <c r="Z18" s="842"/>
      <c r="AA18" s="843"/>
      <c r="AB18" s="164"/>
      <c r="AC18" s="180"/>
      <c r="AD18" s="185"/>
      <c r="AE18" s="195"/>
      <c r="AF18" s="195"/>
      <c r="AG18" s="195"/>
      <c r="AH18" s="195"/>
      <c r="AI18" s="85"/>
      <c r="AJ18" s="85"/>
      <c r="AK18" s="85"/>
      <c r="AL18" s="85"/>
      <c r="AM18" s="85"/>
      <c r="AN18" s="85"/>
      <c r="AO18" s="85"/>
      <c r="AP18" s="89"/>
      <c r="AQ18" s="89"/>
      <c r="AR18" s="89"/>
      <c r="AS18" s="89"/>
    </row>
    <row r="19" spans="1:46" ht="24.75" customHeight="1" x14ac:dyDescent="0.25">
      <c r="A19" s="38"/>
      <c r="B19" s="9"/>
      <c r="C19" s="298" t="s">
        <v>21</v>
      </c>
      <c r="D19" s="298" t="s">
        <v>28</v>
      </c>
      <c r="E19" s="299" t="s">
        <v>11</v>
      </c>
      <c r="F19" s="528"/>
      <c r="G19" s="9"/>
      <c r="H19" s="298" t="s">
        <v>21</v>
      </c>
      <c r="I19" s="298" t="s">
        <v>28</v>
      </c>
      <c r="J19" s="299" t="s">
        <v>11</v>
      </c>
      <c r="K19" s="140"/>
      <c r="L19" s="132"/>
      <c r="M19" s="9"/>
      <c r="N19" s="298" t="s">
        <v>21</v>
      </c>
      <c r="O19" s="298" t="s">
        <v>28</v>
      </c>
      <c r="P19" s="299" t="s">
        <v>11</v>
      </c>
      <c r="Q19" s="132"/>
      <c r="R19" s="141"/>
      <c r="S19" s="291" t="s">
        <v>21</v>
      </c>
      <c r="T19" s="291" t="s">
        <v>28</v>
      </c>
      <c r="U19" s="301" t="s">
        <v>11</v>
      </c>
      <c r="V19" s="132"/>
      <c r="W19" s="132"/>
      <c r="X19" s="141"/>
      <c r="Y19" s="291" t="s">
        <v>21</v>
      </c>
      <c r="Z19" s="291" t="s">
        <v>28</v>
      </c>
      <c r="AA19" s="301" t="s">
        <v>11</v>
      </c>
      <c r="AB19" s="164"/>
      <c r="AC19" s="180"/>
      <c r="AD19" s="185" t="s">
        <v>250</v>
      </c>
      <c r="AE19" s="195" t="s">
        <v>250</v>
      </c>
      <c r="AF19" s="195"/>
      <c r="AG19" s="195"/>
      <c r="AH19" s="195"/>
      <c r="AI19" s="85"/>
      <c r="AJ19" s="85"/>
      <c r="AK19" s="85"/>
      <c r="AL19" s="85"/>
      <c r="AM19" s="92"/>
      <c r="AN19" s="93"/>
      <c r="AO19" s="86"/>
      <c r="AP19" s="86"/>
      <c r="AQ19" s="94"/>
      <c r="AR19" s="89"/>
      <c r="AS19" s="95"/>
      <c r="AT19" s="62"/>
    </row>
    <row r="20" spans="1:46" ht="18.75" customHeight="1" x14ac:dyDescent="0.25">
      <c r="A20" s="38"/>
      <c r="B20" s="844" t="s">
        <v>221</v>
      </c>
      <c r="C20" s="845"/>
      <c r="D20" s="845"/>
      <c r="E20" s="846"/>
      <c r="F20" s="529"/>
      <c r="G20" s="844" t="s">
        <v>221</v>
      </c>
      <c r="H20" s="909"/>
      <c r="I20" s="909"/>
      <c r="J20" s="910"/>
      <c r="K20" s="143"/>
      <c r="L20" s="132"/>
      <c r="M20" s="847" t="str">
        <f>$G$20</f>
        <v xml:space="preserve">          USEPA RBP (High Gradient Data Sheet)</v>
      </c>
      <c r="N20" s="848"/>
      <c r="O20" s="848"/>
      <c r="P20" s="849"/>
      <c r="Q20" s="132"/>
      <c r="R20" s="847" t="str">
        <f>$G$20</f>
        <v xml:space="preserve">          USEPA RBP (High Gradient Data Sheet)</v>
      </c>
      <c r="S20" s="848"/>
      <c r="T20" s="848"/>
      <c r="U20" s="849"/>
      <c r="V20" s="132"/>
      <c r="W20" s="132"/>
      <c r="X20" s="847" t="str">
        <f>$G$20</f>
        <v xml:space="preserve">          USEPA RBP (High Gradient Data Sheet)</v>
      </c>
      <c r="Y20" s="848"/>
      <c r="Z20" s="848"/>
      <c r="AA20" s="849"/>
      <c r="AB20" s="164"/>
      <c r="AC20" s="180"/>
      <c r="AD20" s="187" t="b">
        <v>1</v>
      </c>
      <c r="AE20" s="198" t="b">
        <v>1</v>
      </c>
      <c r="AF20" s="195"/>
      <c r="AG20" s="195"/>
      <c r="AH20" s="195"/>
      <c r="AI20" s="85"/>
      <c r="AJ20" s="85"/>
      <c r="AK20" s="85"/>
      <c r="AL20" s="85"/>
      <c r="AM20" s="92"/>
      <c r="AN20" s="93"/>
      <c r="AO20" s="86"/>
      <c r="AP20" s="89"/>
      <c r="AQ20" s="94"/>
      <c r="AR20" s="95"/>
      <c r="AS20" s="96"/>
      <c r="AT20" s="63"/>
    </row>
    <row r="21" spans="1:46" ht="12.75" customHeight="1" x14ac:dyDescent="0.25">
      <c r="A21" s="38"/>
      <c r="B21" s="71" t="str">
        <f>IF(B20='Lists and Arrays'!B34,"Select Data Sheet",IF(B20='Lists and Arrays'!B35,"1. Epifaunal Substrate/Available Cover","1. Epifaunal Substrate/Available Cover"))</f>
        <v>1. Epifaunal Substrate/Available Cover</v>
      </c>
      <c r="C21" s="67" t="s">
        <v>5</v>
      </c>
      <c r="D21" s="911" t="s">
        <v>20</v>
      </c>
      <c r="E21" s="115"/>
      <c r="F21" s="530"/>
      <c r="G21" s="71" t="str">
        <f>IF(G20='Lists and Arrays'!B34,"Select Data Sheet",IF(G20='Lists and Arrays'!B35,"1. Epifaunal Substrate/Available Cover","1. Epifaunal Substrate/Available Cover"))</f>
        <v>1. Epifaunal Substrate/Available Cover</v>
      </c>
      <c r="H21" s="128" t="s">
        <v>5</v>
      </c>
      <c r="I21" s="911" t="s">
        <v>20</v>
      </c>
      <c r="J21" s="115"/>
      <c r="K21" s="145"/>
      <c r="L21" s="146"/>
      <c r="M21" s="71" t="str">
        <f>IF(M20='Lists and Arrays'!B34,"Select Data Sheet",IF(M20='Lists and Arrays'!B35,"1. Epifaunal Substrate/Available Cover","1. Epifaunal Substrate/Available Cover"))</f>
        <v>1. Epifaunal Substrate/Available Cover</v>
      </c>
      <c r="N21" s="130" t="s">
        <v>5</v>
      </c>
      <c r="O21" s="911" t="s">
        <v>20</v>
      </c>
      <c r="P21" s="115"/>
      <c r="Q21" s="146"/>
      <c r="R21" s="71" t="str">
        <f>IF(R20='Lists and Arrays'!B34,"Select Data Sheet",IF(R20='Lists and Arrays'!B35,"1. Epifaunal Substrate/Available Cover","1. Epifaunal Substrate/Available Cover"))</f>
        <v>1. Epifaunal Substrate/Available Cover</v>
      </c>
      <c r="S21" s="130" t="s">
        <v>5</v>
      </c>
      <c r="T21" s="911" t="s">
        <v>20</v>
      </c>
      <c r="U21" s="115"/>
      <c r="V21" s="146"/>
      <c r="W21" s="132"/>
      <c r="X21" s="71" t="str">
        <f>IF(X20='Lists and Arrays'!B34,"Select Data Sheet",IF(X20='Lists and Arrays'!B35,"1. Epifaunal Substrate/Available Cover","1. Epifaunal Substrate/Available Cover"))</f>
        <v>1. Epifaunal Substrate/Available Cover</v>
      </c>
      <c r="Y21" s="130" t="s">
        <v>5</v>
      </c>
      <c r="Z21" s="911" t="s">
        <v>20</v>
      </c>
      <c r="AA21" s="115"/>
      <c r="AB21" s="164"/>
      <c r="AC21" s="180"/>
      <c r="AD21" s="185"/>
      <c r="AE21" s="195"/>
      <c r="AF21" s="195"/>
      <c r="AG21" s="195"/>
      <c r="AH21" s="195"/>
      <c r="AI21" s="85"/>
      <c r="AJ21" s="85"/>
      <c r="AK21" s="85"/>
      <c r="AL21" s="85"/>
      <c r="AM21" s="92"/>
      <c r="AN21" s="93"/>
      <c r="AO21" s="86"/>
      <c r="AP21" s="89"/>
      <c r="AQ21" s="94"/>
      <c r="AR21" s="95"/>
      <c r="AS21" s="96"/>
      <c r="AT21" s="63"/>
    </row>
    <row r="22" spans="1:46" ht="13.8" x14ac:dyDescent="0.25">
      <c r="A22" s="38"/>
      <c r="B22" s="24" t="str">
        <f>IF(B20='Lists and Arrays'!B34,"Select Data Sheet",IF(B20='Lists and Arrays'!B35,"2. Embeddedness", "2. Pool Substrate Characterization"))</f>
        <v>2. Embeddedness</v>
      </c>
      <c r="C22" s="67" t="s">
        <v>5</v>
      </c>
      <c r="D22" s="912"/>
      <c r="E22" s="115">
        <v>10</v>
      </c>
      <c r="F22" s="342"/>
      <c r="G22" s="24" t="str">
        <f>IF(G20='Lists and Arrays'!B34,"Select Data Sheet",IF(G20='Lists and Arrays'!B35,"2. Embeddedness", "2. Pool Substrate Characterization"))</f>
        <v>2. Embeddedness</v>
      </c>
      <c r="H22" s="128" t="s">
        <v>5</v>
      </c>
      <c r="I22" s="912"/>
      <c r="J22" s="115">
        <v>2</v>
      </c>
      <c r="K22" s="145"/>
      <c r="L22" s="132"/>
      <c r="M22" s="24" t="str">
        <f>IF(M20='Lists and Arrays'!B34,"Select Data Sheet",IF(M20='Lists and Arrays'!B35,"2. Embeddedness", "2. Pool Substrate Characterization"))</f>
        <v>2. Embeddedness</v>
      </c>
      <c r="N22" s="130" t="s">
        <v>5</v>
      </c>
      <c r="O22" s="912"/>
      <c r="P22" s="115">
        <v>4</v>
      </c>
      <c r="Q22" s="146"/>
      <c r="R22" s="24" t="str">
        <f>IF(R20='Lists and Arrays'!B34,"Select Data Sheet",IF(R20='Lists and Arrays'!B35,"2. Embeddedness", "2. Pool Substrate Characterization"))</f>
        <v>2. Embeddedness</v>
      </c>
      <c r="S22" s="130" t="s">
        <v>5</v>
      </c>
      <c r="T22" s="912"/>
      <c r="U22" s="115">
        <v>6</v>
      </c>
      <c r="V22" s="146"/>
      <c r="W22" s="132"/>
      <c r="X22" s="24" t="str">
        <f>IF(X20='Lists and Arrays'!B34,"Select Data Sheet",IF(X20='Lists and Arrays'!B35,"2. Embeddedness", "2. Pool Substrate Characterization"))</f>
        <v>2. Embeddedness</v>
      </c>
      <c r="Y22" s="130" t="s">
        <v>5</v>
      </c>
      <c r="Z22" s="912"/>
      <c r="AA22" s="115">
        <v>8</v>
      </c>
      <c r="AB22" s="164"/>
      <c r="AC22" s="180"/>
      <c r="AD22" s="185"/>
      <c r="AE22" s="195"/>
      <c r="AF22" s="195"/>
      <c r="AG22" s="195"/>
      <c r="AH22" s="195"/>
      <c r="AI22" s="85"/>
      <c r="AJ22" s="85"/>
      <c r="AK22" s="85"/>
      <c r="AL22" s="85"/>
      <c r="AM22" s="92"/>
      <c r="AN22" s="93"/>
      <c r="AO22" s="86"/>
      <c r="AP22" s="89"/>
      <c r="AQ22" s="94"/>
      <c r="AR22" s="89"/>
      <c r="AS22" s="89"/>
    </row>
    <row r="23" spans="1:46" ht="13.8" x14ac:dyDescent="0.25">
      <c r="A23" s="38"/>
      <c r="B23" s="71" t="str">
        <f>IF(B20='Lists and Arrays'!B34,"Select Data Sheet",IF(B20='Lists and Arrays'!B35,"3. Velocity/ Depth Regime","3. Pool Variability"))</f>
        <v>3. Velocity/ Depth Regime</v>
      </c>
      <c r="C23" s="67" t="s">
        <v>5</v>
      </c>
      <c r="D23" s="912"/>
      <c r="E23" s="115"/>
      <c r="F23" s="342"/>
      <c r="G23" s="71" t="str">
        <f>IF(G20='Lists and Arrays'!B34,"Select Data Sheet",IF(G20='Lists and Arrays'!B35,"3. Velocity/ Depth Regime","3. Pool Variability"))</f>
        <v>3. Velocity/ Depth Regime</v>
      </c>
      <c r="H23" s="128" t="s">
        <v>5</v>
      </c>
      <c r="I23" s="912"/>
      <c r="J23" s="115"/>
      <c r="K23" s="145"/>
      <c r="L23" s="132"/>
      <c r="M23" s="71" t="str">
        <f>IF(M20='Lists and Arrays'!B34,"Select Data Sheet",IF(M20='Lists and Arrays'!B35,"3. Velocity/ Depth Regime","3. Pool Variability"))</f>
        <v>3. Velocity/ Depth Regime</v>
      </c>
      <c r="N23" s="130" t="s">
        <v>5</v>
      </c>
      <c r="O23" s="912"/>
      <c r="P23" s="115"/>
      <c r="Q23" s="146"/>
      <c r="R23" s="71" t="str">
        <f>IF(R20='Lists and Arrays'!B34,"Select Data Sheet",IF(R20='Lists and Arrays'!B35,"3. Velocity/ Depth Regime","3. Pool Variability"))</f>
        <v>3. Velocity/ Depth Regime</v>
      </c>
      <c r="S23" s="130" t="s">
        <v>5</v>
      </c>
      <c r="T23" s="912"/>
      <c r="U23" s="115"/>
      <c r="V23" s="146"/>
      <c r="W23" s="132"/>
      <c r="X23" s="71" t="str">
        <f>IF(X20='Lists and Arrays'!B34,"Select Data Sheet",IF(X20='Lists and Arrays'!B35,"3. Velocity/ Depth Regime","3. Pool Variability"))</f>
        <v>3. Velocity/ Depth Regime</v>
      </c>
      <c r="Y23" s="130" t="s">
        <v>5</v>
      </c>
      <c r="Z23" s="912"/>
      <c r="AA23" s="115"/>
      <c r="AB23" s="164"/>
      <c r="AC23" s="180"/>
      <c r="AD23" s="185"/>
      <c r="AE23" s="195"/>
      <c r="AF23" s="195"/>
      <c r="AG23" s="195"/>
      <c r="AH23" s="195"/>
      <c r="AI23" s="85"/>
      <c r="AJ23" s="85"/>
      <c r="AK23" s="85"/>
      <c r="AL23" s="85"/>
      <c r="AM23" s="92"/>
      <c r="AN23" s="93"/>
      <c r="AO23" s="86"/>
      <c r="AP23" s="89"/>
      <c r="AQ23" s="97"/>
      <c r="AR23" s="89"/>
      <c r="AS23" s="89"/>
    </row>
    <row r="24" spans="1:46" ht="12.75" customHeight="1" x14ac:dyDescent="0.25">
      <c r="A24" s="38"/>
      <c r="B24" s="24" t="str">
        <f>IF(B20='Lists and Arrays'!B34,"Select Data Sheet",IF(B20='Lists and Arrays'!B35,"4. Sediment Deposition","4. Sediment Deposition"))</f>
        <v>4. Sediment Deposition</v>
      </c>
      <c r="C24" s="67" t="s">
        <v>5</v>
      </c>
      <c r="D24" s="912"/>
      <c r="E24" s="115">
        <v>11</v>
      </c>
      <c r="F24" s="342"/>
      <c r="G24" s="24" t="str">
        <f>IF(G20='Lists and Arrays'!B34,"Select Data Sheet",IF(G20='Lists and Arrays'!B35,"4. Sediment Deposition","4. Sediment Deposition"))</f>
        <v>4. Sediment Deposition</v>
      </c>
      <c r="H24" s="128" t="s">
        <v>5</v>
      </c>
      <c r="I24" s="912"/>
      <c r="J24" s="115">
        <v>2</v>
      </c>
      <c r="K24" s="145"/>
      <c r="L24" s="132"/>
      <c r="M24" s="24" t="str">
        <f>IF(M20='Lists and Arrays'!B34,"Select Data Sheet",IF(M20='Lists and Arrays'!B35,"4. Sediment Deposition","4. Sediment Deposition"))</f>
        <v>4. Sediment Deposition</v>
      </c>
      <c r="N24" s="130" t="s">
        <v>5</v>
      </c>
      <c r="O24" s="912"/>
      <c r="P24" s="115">
        <v>4</v>
      </c>
      <c r="Q24" s="146"/>
      <c r="R24" s="24" t="str">
        <f>IF(R20='Lists and Arrays'!B34,"Select Data Sheet",IF(R20='Lists and Arrays'!B35,"4. Sediment Deposition","4. Sediment Deposition"))</f>
        <v>4. Sediment Deposition</v>
      </c>
      <c r="S24" s="130" t="s">
        <v>5</v>
      </c>
      <c r="T24" s="912"/>
      <c r="U24" s="115">
        <v>6</v>
      </c>
      <c r="V24" s="146"/>
      <c r="W24" s="132"/>
      <c r="X24" s="24" t="str">
        <f>IF(X20='Lists and Arrays'!B34,"Select Data Sheet",IF(X20='Lists and Arrays'!B35,"4. Sediment Deposition","4. Sediment Deposition"))</f>
        <v>4. Sediment Deposition</v>
      </c>
      <c r="Y24" s="130" t="s">
        <v>5</v>
      </c>
      <c r="Z24" s="912"/>
      <c r="AA24" s="115">
        <v>8</v>
      </c>
      <c r="AB24" s="164"/>
      <c r="AC24" s="180"/>
      <c r="AD24" s="185"/>
      <c r="AE24" s="195"/>
      <c r="AF24" s="195"/>
      <c r="AG24" s="195"/>
      <c r="AH24" s="195"/>
      <c r="AI24" s="85"/>
      <c r="AJ24" s="85"/>
      <c r="AK24" s="87"/>
      <c r="AL24" s="85"/>
      <c r="AM24" s="92"/>
      <c r="AN24" s="93"/>
      <c r="AO24" s="85"/>
      <c r="AP24" s="89"/>
      <c r="AQ24" s="89"/>
      <c r="AR24" s="89"/>
      <c r="AS24" s="89"/>
    </row>
    <row r="25" spans="1:46" ht="13.8" x14ac:dyDescent="0.25">
      <c r="A25" s="38"/>
      <c r="B25" s="71" t="str">
        <f>IF(B20="          USEPA RBP (High Gradient Data Sheet)","5. Channel Flow Status", "5. Channel Flow Status")</f>
        <v>5. Channel Flow Status</v>
      </c>
      <c r="C25" s="67" t="s">
        <v>5</v>
      </c>
      <c r="D25" s="912"/>
      <c r="E25" s="115"/>
      <c r="F25" s="342"/>
      <c r="G25" s="71" t="str">
        <f>IF(G20='Lists and Arrays'!B35,"5. Channel Flow Status", "5. Channel Flow Status")</f>
        <v>5. Channel Flow Status</v>
      </c>
      <c r="H25" s="128" t="s">
        <v>5</v>
      </c>
      <c r="I25" s="912"/>
      <c r="J25" s="115"/>
      <c r="K25" s="145"/>
      <c r="L25" s="132"/>
      <c r="M25" s="71" t="str">
        <f>IF(M20='Lists and Arrays'!B35,"5. Channel Flow Status", "5. Channel Flow Status")</f>
        <v>5. Channel Flow Status</v>
      </c>
      <c r="N25" s="130" t="s">
        <v>5</v>
      </c>
      <c r="O25" s="912"/>
      <c r="P25" s="115"/>
      <c r="Q25" s="146"/>
      <c r="R25" s="71" t="str">
        <f>IF(R20='Lists and Arrays'!B35,"5. Channel Flow Status", "5. Channel Flow Status")</f>
        <v>5. Channel Flow Status</v>
      </c>
      <c r="S25" s="130" t="s">
        <v>5</v>
      </c>
      <c r="T25" s="912"/>
      <c r="U25" s="115"/>
      <c r="V25" s="146"/>
      <c r="W25" s="132"/>
      <c r="X25" s="71" t="str">
        <f>IF(X20='Lists and Arrays'!B35,"5. Channel Flow Status", "5. Channel Flow Status")</f>
        <v>5. Channel Flow Status</v>
      </c>
      <c r="Y25" s="130" t="s">
        <v>5</v>
      </c>
      <c r="Z25" s="912"/>
      <c r="AA25" s="115"/>
      <c r="AB25" s="164"/>
      <c r="AC25" s="180"/>
      <c r="AD25" s="185"/>
      <c r="AE25" s="195"/>
      <c r="AF25" s="195"/>
      <c r="AG25" s="195"/>
      <c r="AH25" s="195"/>
      <c r="AI25" s="85"/>
      <c r="AJ25" s="85"/>
      <c r="AK25" s="87"/>
      <c r="AL25" s="85"/>
      <c r="AM25" s="92"/>
      <c r="AN25" s="93"/>
      <c r="AO25" s="85"/>
      <c r="AP25" s="89"/>
      <c r="AQ25" s="89"/>
      <c r="AR25" s="89"/>
      <c r="AS25" s="89"/>
    </row>
    <row r="26" spans="1:46" ht="13.8" x14ac:dyDescent="0.25">
      <c r="A26" s="38"/>
      <c r="B26" s="24" t="s">
        <v>2</v>
      </c>
      <c r="C26" s="67" t="s">
        <v>5</v>
      </c>
      <c r="D26" s="912"/>
      <c r="E26" s="115">
        <v>12</v>
      </c>
      <c r="F26" s="342"/>
      <c r="G26" s="24" t="s">
        <v>2</v>
      </c>
      <c r="H26" s="128" t="s">
        <v>5</v>
      </c>
      <c r="I26" s="912"/>
      <c r="J26" s="115">
        <v>2</v>
      </c>
      <c r="K26" s="145"/>
      <c r="L26" s="132"/>
      <c r="M26" s="24" t="s">
        <v>2</v>
      </c>
      <c r="N26" s="130" t="s">
        <v>5</v>
      </c>
      <c r="O26" s="912"/>
      <c r="P26" s="115">
        <v>4</v>
      </c>
      <c r="Q26" s="146"/>
      <c r="R26" s="24" t="s">
        <v>2</v>
      </c>
      <c r="S26" s="130" t="s">
        <v>5</v>
      </c>
      <c r="T26" s="912"/>
      <c r="U26" s="115">
        <v>6</v>
      </c>
      <c r="V26" s="146"/>
      <c r="W26" s="132"/>
      <c r="X26" s="24" t="s">
        <v>2</v>
      </c>
      <c r="Y26" s="130" t="s">
        <v>5</v>
      </c>
      <c r="Z26" s="912"/>
      <c r="AA26" s="115">
        <v>8</v>
      </c>
      <c r="AB26" s="164"/>
      <c r="AC26" s="180"/>
      <c r="AD26" s="185"/>
      <c r="AE26" s="195"/>
      <c r="AF26" s="195"/>
      <c r="AG26" s="195"/>
      <c r="AH26" s="195"/>
      <c r="AI26" s="98"/>
      <c r="AJ26" s="85"/>
      <c r="AK26" s="85"/>
      <c r="AL26" s="85"/>
      <c r="AM26" s="92"/>
      <c r="AN26" s="89"/>
      <c r="AO26" s="85"/>
      <c r="AP26" s="89"/>
      <c r="AQ26" s="89"/>
      <c r="AR26" s="89"/>
      <c r="AS26" s="89"/>
    </row>
    <row r="27" spans="1:46" ht="13.8" x14ac:dyDescent="0.25">
      <c r="A27" s="38"/>
      <c r="B27" s="71" t="str">
        <f>IF(B20='Lists and Arrays'!B34,"Select Data Sheet",IF(B20='Lists and Arrays'!B35,"7. Frequency of Riffles (or bends)","7. Channel Sinuosity"))</f>
        <v>7. Frequency of Riffles (or bends)</v>
      </c>
      <c r="C27" s="67" t="s">
        <v>5</v>
      </c>
      <c r="D27" s="912"/>
      <c r="E27" s="115"/>
      <c r="F27" s="342"/>
      <c r="G27" s="71" t="str">
        <f>IF(G20='Lists and Arrays'!B34,"Select Data Sheet",IF(G20='Lists and Arrays'!B35,"7. Frequency of Riffles (or bends)","7. Channel Sinuosity"))</f>
        <v>7. Frequency of Riffles (or bends)</v>
      </c>
      <c r="H27" s="128" t="s">
        <v>5</v>
      </c>
      <c r="I27" s="912"/>
      <c r="J27" s="115"/>
      <c r="K27" s="145"/>
      <c r="L27" s="132"/>
      <c r="M27" s="71" t="str">
        <f>IF(M20='Lists and Arrays'!B34,"Select Data Sheet",IF(M20='Lists and Arrays'!B35,"7. Frequency of Riffles (or bends)","7. Channel Sinuosity"))</f>
        <v>7. Frequency of Riffles (or bends)</v>
      </c>
      <c r="N27" s="130" t="s">
        <v>5</v>
      </c>
      <c r="O27" s="912"/>
      <c r="P27" s="115"/>
      <c r="Q27" s="146"/>
      <c r="R27" s="71" t="str">
        <f>IF(R20='Lists and Arrays'!B34,"Select Data Sheet",IF(R20='Lists and Arrays'!B35,"7. Frequency of Riffles (or bends)","7. Channel Sinuosity"))</f>
        <v>7. Frequency of Riffles (or bends)</v>
      </c>
      <c r="S27" s="130" t="s">
        <v>5</v>
      </c>
      <c r="T27" s="912"/>
      <c r="U27" s="115"/>
      <c r="V27" s="146"/>
      <c r="W27" s="132"/>
      <c r="X27" s="71" t="str">
        <f>IF(X20='Lists and Arrays'!B34,"Select Data Sheet",IF(X20='Lists and Arrays'!B35,"7. Frequency of Riffles (or bends)","7. Channel Sinuosity"))</f>
        <v>7. Frequency of Riffles (or bends)</v>
      </c>
      <c r="Y27" s="130" t="s">
        <v>5</v>
      </c>
      <c r="Z27" s="912"/>
      <c r="AA27" s="115"/>
      <c r="AB27" s="164"/>
      <c r="AC27" s="180"/>
      <c r="AD27" s="185"/>
      <c r="AE27" s="195"/>
      <c r="AF27" s="195"/>
      <c r="AG27" s="195"/>
      <c r="AH27" s="195"/>
      <c r="AI27" s="98"/>
      <c r="AJ27" s="85"/>
      <c r="AK27" s="85"/>
      <c r="AL27" s="85"/>
      <c r="AM27" s="92"/>
      <c r="AN27" s="85"/>
      <c r="AO27" s="85"/>
      <c r="AP27" s="89"/>
      <c r="AQ27" s="89"/>
      <c r="AR27" s="89"/>
      <c r="AS27" s="89"/>
    </row>
    <row r="28" spans="1:46" ht="13.8" x14ac:dyDescent="0.25">
      <c r="A28" s="38"/>
      <c r="B28" s="24" t="s">
        <v>3</v>
      </c>
      <c r="C28" s="67" t="s">
        <v>5</v>
      </c>
      <c r="D28" s="912"/>
      <c r="E28" s="115">
        <v>13</v>
      </c>
      <c r="F28" s="342"/>
      <c r="G28" s="24" t="s">
        <v>3</v>
      </c>
      <c r="H28" s="128" t="s">
        <v>5</v>
      </c>
      <c r="I28" s="912"/>
      <c r="J28" s="115">
        <v>2</v>
      </c>
      <c r="K28" s="145"/>
      <c r="L28" s="132"/>
      <c r="M28" s="24" t="s">
        <v>3</v>
      </c>
      <c r="N28" s="130" t="s">
        <v>5</v>
      </c>
      <c r="O28" s="912"/>
      <c r="P28" s="115">
        <v>4</v>
      </c>
      <c r="Q28" s="146"/>
      <c r="R28" s="24" t="s">
        <v>3</v>
      </c>
      <c r="S28" s="130" t="s">
        <v>5</v>
      </c>
      <c r="T28" s="912"/>
      <c r="U28" s="115">
        <v>6</v>
      </c>
      <c r="V28" s="146"/>
      <c r="W28" s="132"/>
      <c r="X28" s="24" t="s">
        <v>3</v>
      </c>
      <c r="Y28" s="130" t="s">
        <v>5</v>
      </c>
      <c r="Z28" s="912"/>
      <c r="AA28" s="115">
        <v>8</v>
      </c>
      <c r="AB28" s="164"/>
      <c r="AC28" s="180"/>
      <c r="AD28" s="185"/>
      <c r="AE28" s="195"/>
      <c r="AF28" s="195"/>
      <c r="AG28" s="195"/>
      <c r="AH28" s="195"/>
      <c r="AI28" s="85"/>
      <c r="AJ28" s="85"/>
      <c r="AK28" s="85"/>
      <c r="AL28" s="85"/>
      <c r="AM28" s="92"/>
      <c r="AN28" s="85"/>
      <c r="AO28" s="85"/>
      <c r="AP28" s="89"/>
      <c r="AQ28" s="89"/>
      <c r="AR28" s="89"/>
      <c r="AS28" s="89"/>
    </row>
    <row r="29" spans="1:46" ht="13.8" x14ac:dyDescent="0.25">
      <c r="A29" s="38"/>
      <c r="B29" s="24" t="s">
        <v>4</v>
      </c>
      <c r="C29" s="67" t="s">
        <v>5</v>
      </c>
      <c r="D29" s="912"/>
      <c r="E29" s="115">
        <v>14</v>
      </c>
      <c r="F29" s="342"/>
      <c r="G29" s="24" t="s">
        <v>4</v>
      </c>
      <c r="H29" s="128" t="s">
        <v>5</v>
      </c>
      <c r="I29" s="912"/>
      <c r="J29" s="115">
        <v>2</v>
      </c>
      <c r="K29" s="145"/>
      <c r="L29" s="132"/>
      <c r="M29" s="24" t="s">
        <v>4</v>
      </c>
      <c r="N29" s="130" t="s">
        <v>5</v>
      </c>
      <c r="O29" s="912"/>
      <c r="P29" s="115">
        <v>4</v>
      </c>
      <c r="Q29" s="146"/>
      <c r="R29" s="24" t="s">
        <v>4</v>
      </c>
      <c r="S29" s="130" t="s">
        <v>5</v>
      </c>
      <c r="T29" s="912"/>
      <c r="U29" s="115">
        <v>6</v>
      </c>
      <c r="V29" s="146"/>
      <c r="W29" s="132"/>
      <c r="X29" s="24" t="s">
        <v>4</v>
      </c>
      <c r="Y29" s="130" t="s">
        <v>5</v>
      </c>
      <c r="Z29" s="912"/>
      <c r="AA29" s="115">
        <v>8</v>
      </c>
      <c r="AB29" s="164"/>
      <c r="AC29" s="180"/>
      <c r="AD29" s="185"/>
      <c r="AE29" s="195"/>
      <c r="AF29" s="195"/>
      <c r="AG29" s="195"/>
      <c r="AH29" s="195"/>
      <c r="AI29" s="85"/>
      <c r="AJ29" s="85"/>
      <c r="AK29" s="85"/>
      <c r="AL29" s="85"/>
      <c r="AM29" s="92"/>
      <c r="AN29" s="85"/>
      <c r="AO29" s="85"/>
      <c r="AP29" s="89"/>
      <c r="AQ29" s="89"/>
      <c r="AR29" s="89"/>
      <c r="AS29" s="89"/>
    </row>
    <row r="30" spans="1:46" ht="12.75" customHeight="1" x14ac:dyDescent="0.25">
      <c r="A30" s="38"/>
      <c r="B30" s="24" t="s">
        <v>182</v>
      </c>
      <c r="C30" s="67" t="s">
        <v>5</v>
      </c>
      <c r="D30" s="913"/>
      <c r="E30" s="115">
        <v>15</v>
      </c>
      <c r="F30" s="342"/>
      <c r="G30" s="24" t="s">
        <v>182</v>
      </c>
      <c r="H30" s="128" t="s">
        <v>5</v>
      </c>
      <c r="I30" s="913"/>
      <c r="J30" s="115">
        <v>2</v>
      </c>
      <c r="K30" s="145"/>
      <c r="L30" s="132"/>
      <c r="M30" s="24" t="s">
        <v>182</v>
      </c>
      <c r="N30" s="130" t="s">
        <v>5</v>
      </c>
      <c r="O30" s="913"/>
      <c r="P30" s="115">
        <v>4</v>
      </c>
      <c r="Q30" s="146"/>
      <c r="R30" s="24" t="s">
        <v>182</v>
      </c>
      <c r="S30" s="130" t="s">
        <v>5</v>
      </c>
      <c r="T30" s="913"/>
      <c r="U30" s="115">
        <v>6</v>
      </c>
      <c r="V30" s="146"/>
      <c r="W30" s="132"/>
      <c r="X30" s="24" t="s">
        <v>182</v>
      </c>
      <c r="Y30" s="130" t="s">
        <v>5</v>
      </c>
      <c r="Z30" s="913"/>
      <c r="AA30" s="115">
        <v>8</v>
      </c>
      <c r="AB30" s="164"/>
      <c r="AC30" s="180"/>
      <c r="AD30" s="185"/>
      <c r="AE30" s="195"/>
      <c r="AF30" s="195"/>
      <c r="AG30" s="195"/>
      <c r="AH30" s="195"/>
      <c r="AI30" s="85"/>
      <c r="AJ30" s="85"/>
      <c r="AK30" s="85"/>
      <c r="AL30" s="85"/>
      <c r="AM30" s="92"/>
      <c r="AN30" s="85"/>
      <c r="AO30" s="85"/>
      <c r="AP30" s="89"/>
      <c r="AQ30" s="89"/>
      <c r="AR30" s="89"/>
      <c r="AS30" s="89"/>
    </row>
    <row r="31" spans="1:46" ht="12.75" customHeight="1" x14ac:dyDescent="0.25">
      <c r="A31" s="38"/>
      <c r="B31" s="25" t="s">
        <v>22</v>
      </c>
      <c r="C31" s="864" t="str">
        <f>IF(AD20=FALSE,"",IF(B20='Lists and Arrays'!B34,"Select Data Sheet",IF(C7='Lists and Arrays'!B13,"Stream Class",IF(E31="","",IF(AND(AD32&lt;=200,AD32&gt;=166),"Optimal",IF(AND(AD32&lt;=165,AD32&gt;=113),"Suboptimal",IF(AND(AD32&lt;=112,AD32&gt;=60),"Marginal",IF(AND(AD32&lt;=59,AD32&gt;=0),"Poor",""))))))))</f>
        <v>Marginal</v>
      </c>
      <c r="D31" s="864"/>
      <c r="E31" s="307">
        <f>IF(B20='Lists and Arrays'!$B$34,"",IF(AND(E21="",E22="",E23="",E24="",E25="",E26="",E27="",E28="",E29="",E30=""),"",IF(C7='Lists and Arrays'!B13,"",IF(AND(C7="Ephemeral", B20='Lists and Arrays'!$B$35),SUM(E22,E24,E26,E28:E30),IF(AND(C7="Ephemeral", B20='Lists and Arrays'!$B$36),SUM(E24,E26:E30),SUM(E21:E30))))))</f>
        <v>75</v>
      </c>
      <c r="F31" s="342"/>
      <c r="G31" s="127" t="s">
        <v>22</v>
      </c>
      <c r="H31" s="859" t="str">
        <f>IF($AE20=FALSE,"",IF(G20='Lists and Arrays'!$B34,"",IF(H7='Lists and Arrays'!B13,"Stream Class",IF(J31="","",IF(AND(AE32&lt;=200,AE32&gt;=166),"Optimal",IF(AND(AE32&lt;=165,AE32&gt;=113),"Suboptimal",IF(AND(AE32&lt;=112,AE32&gt;=60),"Marginal",IF(AND(AE32&lt;=59,AE32&gt;=0),"Poor",""))))))))</f>
        <v>Poor</v>
      </c>
      <c r="I31" s="860"/>
      <c r="J31" s="307">
        <f>IF(G20='Lists and Arrays'!$B$34,"",IF(AND(J21="",J22="",J23="",J24="",J25="",J26="",J27="",J28="",J29="",J30=""),"",IF(H7='Lists and Arrays'!B13,"",IF(AND($H$7="Ephemeral", G20='Lists and Arrays'!$B$35),SUM(J22,J24,J26,J28:J30),IF(AND($H$7="Ephemeral", G20='Lists and Arrays'!$B$36),SUM(J24,J26:J30),SUM(J21:J30))))))</f>
        <v>12</v>
      </c>
      <c r="K31" s="148"/>
      <c r="L31" s="132"/>
      <c r="M31" s="129" t="s">
        <v>22</v>
      </c>
      <c r="N31" s="859" t="str">
        <f>IF($AE20=FALSE,"",IF(M20='Lists and Arrays'!$B34,"",IF(H7='Lists and Arrays'!B13,"Stream Class",IF(P31="","",IF(AND(AF32&lt;=200,AF32&gt;=166),"Optimal",IF(AND(AF32&lt;=165,AF32&gt;=113),"Suboptimal",IF(AND(AF32&lt;=112,AF32&gt;=60),"Marginal",IF(AND(AF32&lt;=59,AF32&gt;=0),"Poor",""))))))))</f>
        <v>Poor</v>
      </c>
      <c r="O31" s="860"/>
      <c r="P31" s="674">
        <f>IF(M20='Lists and Arrays'!$B$34,"",IF(AND(P21="",P22="",P23="",P24="",P25="",P26="",P27="",P28="",P29="",P30=""),"",IF(H7='Lists and Arrays'!B13,"",IF(AND($H$7="Ephemeral", M20='Lists and Arrays'!$B$35),SUM(P22,P24,P26,P28:P30),IF(AND($H$7="Ephemeral", M20='Lists and Arrays'!$B$36),SUM(P24,P26:P30),SUM(P21:P30))))))</f>
        <v>24</v>
      </c>
      <c r="Q31" s="132"/>
      <c r="R31" s="129" t="s">
        <v>22</v>
      </c>
      <c r="S31" s="859" t="str">
        <f>IF($AE20=FALSE,"",IF(R20='Lists and Arrays'!$B34,"",IF(H7='Lists and Arrays'!B13,"Stream Class",IF(U31="","",IF(AND(AG32&lt;=200,AG32&gt;=166),"Optimal",IF(AND(AG32&lt;=165,AG32&gt;=113),"Suboptimal",IF(AND(AG32&lt;=112,AG32&gt;=60),"Marginal",IF(AND(AG32&lt;=59,AG32&gt;=0),"Poor",""))))))))</f>
        <v>Poor</v>
      </c>
      <c r="T31" s="860"/>
      <c r="U31" s="674">
        <f>IF(R20='Lists and Arrays'!$B$34,"",IF(AND(U21="",U22="",U23="",U24="",U25="",U26="",U27="",U28="",U29="",U30=""),"",IF(H7='Lists and Arrays'!B13,"",IF(AND($H$7="Ephemeral", R20='Lists and Arrays'!$B$35),SUM(U22,U24,U26,U28:U30),IF(AND($H$7="Ephemeral", R20='Lists and Arrays'!$B$36),SUM(U24,U26:U30),SUM(U21:U30))))))</f>
        <v>36</v>
      </c>
      <c r="V31" s="132"/>
      <c r="W31" s="132"/>
      <c r="X31" s="129" t="s">
        <v>22</v>
      </c>
      <c r="Y31" s="859" t="str">
        <f>IF($AE20=FALSE,"",IF(X20='Lists and Arrays'!$B34,"",IF(H7='Lists and Arrays'!B13,"Stream Class",IF(AA31="","",IF(AND(AH32&lt;=200,AH32&gt;=166),"Optimal",IF(AND(AH32&lt;=165,AH32&gt;=113),"Suboptimal",IF(AND(AH32&lt;=112,AH32&gt;=60),"Marginal",IF(AND(AH32&lt;=59,AH32&gt;=0),"Poor",""))))))))</f>
        <v>Poor</v>
      </c>
      <c r="Z31" s="860"/>
      <c r="AA31" s="307">
        <f>IF(X20='Lists and Arrays'!$B$34,"",IF(AND(AA21="",AA22="",AA23="",AA24="",AA25="",AA26="",AA27="",AA28="",AA29="",AA30=""),"",IF(H7='Lists and Arrays'!B13,"",IF(AND($H$7="Ephemeral", X20='Lists and Arrays'!$B$35),SUM(AA22,AA24,AA26,AA28:AA30),IF(AND($H$7="Ephemeral", X20='Lists and Arrays'!$B$36),SUM(AA24,AA26:AA30),SUM(AA21:AA30))))))</f>
        <v>48</v>
      </c>
      <c r="AB31" s="164"/>
      <c r="AC31" s="180"/>
      <c r="AD31" s="185" t="s">
        <v>253</v>
      </c>
      <c r="AE31" s="195" t="s">
        <v>253</v>
      </c>
      <c r="AF31" s="195" t="s">
        <v>253</v>
      </c>
      <c r="AG31" s="195" t="s">
        <v>253</v>
      </c>
      <c r="AH31" s="195" t="s">
        <v>253</v>
      </c>
      <c r="AI31" s="85"/>
      <c r="AJ31" s="85"/>
      <c r="AK31" s="85"/>
      <c r="AL31" s="85"/>
      <c r="AM31" s="92"/>
      <c r="AN31" s="85"/>
      <c r="AO31" s="85"/>
      <c r="AP31" s="89"/>
      <c r="AQ31" s="89"/>
      <c r="AR31" s="89"/>
      <c r="AS31" s="89"/>
    </row>
    <row r="32" spans="1:46" ht="14.4" hidden="1" thickBot="1" x14ac:dyDescent="0.3">
      <c r="A32" s="38"/>
      <c r="B32" s="920" t="s">
        <v>12</v>
      </c>
      <c r="C32" s="893"/>
      <c r="D32" s="894"/>
      <c r="E32" s="673">
        <f>IF(AD20=FALSE,"Not Used",IF(B20='Lists and Arrays'!B34,"",IF(E31="","",IF(C7="Ephemeral",ROUND(E31/120,3),ROUND(E31/200,3)))))</f>
        <v>0.375</v>
      </c>
      <c r="F32" s="178"/>
      <c r="G32" s="892" t="s">
        <v>12</v>
      </c>
      <c r="H32" s="893"/>
      <c r="I32" s="894"/>
      <c r="J32" s="673">
        <f>IF($AE20=FALSE,"Not Used",IF(G20='Lists and Arrays'!$B34,"",IF(J31="","",IF(H7="Ephemeral",ROUND(J31/120,3),ROUND(J31/200,3)))))</f>
        <v>0.06</v>
      </c>
      <c r="K32" s="147"/>
      <c r="L32" s="132"/>
      <c r="M32" s="920" t="s">
        <v>12</v>
      </c>
      <c r="N32" s="893"/>
      <c r="O32" s="894"/>
      <c r="P32" s="117">
        <f>IF($AE20=FALSE,"Not Used",IF(M20='Lists and Arrays'!$B34,"",IF(P31="","",IF(N7="Ephemeral",ROUND(P31/120,3),ROUND(P31/200,3)))))</f>
        <v>0.12</v>
      </c>
      <c r="Q32" s="147"/>
      <c r="R32" s="920" t="s">
        <v>12</v>
      </c>
      <c r="S32" s="893"/>
      <c r="T32" s="894"/>
      <c r="U32" s="117">
        <f>IF($AE20=FALSE,"Not Used",IF(R20='Lists and Arrays'!$B34,"",IF(U31="","",IF(S7="Ephemeral",ROUND(U31/120,3),ROUND(U31/200,3)))))</f>
        <v>0.18</v>
      </c>
      <c r="V32" s="132"/>
      <c r="W32" s="147"/>
      <c r="X32" s="920" t="s">
        <v>12</v>
      </c>
      <c r="Y32" s="893"/>
      <c r="Z32" s="894"/>
      <c r="AA32" s="673">
        <f>IF($AE20=FALSE,"Not Used",IF(X20='Lists and Arrays'!$B34,"",IF(AA31="","",IF(Y7="Ephemeral",ROUND(AA31/120,3),ROUND(AA31/200,3)))))</f>
        <v>0.24</v>
      </c>
      <c r="AB32" s="164"/>
      <c r="AC32" s="180"/>
      <c r="AD32" s="199">
        <f>E32*200</f>
        <v>75</v>
      </c>
      <c r="AE32" s="200">
        <f>J32*200</f>
        <v>12</v>
      </c>
      <c r="AF32" s="200">
        <f>P32*200</f>
        <v>24</v>
      </c>
      <c r="AG32" s="200">
        <f>U32*200</f>
        <v>36</v>
      </c>
      <c r="AH32" s="200">
        <f>AA32*200</f>
        <v>48</v>
      </c>
      <c r="AI32" s="184" t="s">
        <v>251</v>
      </c>
      <c r="AJ32" s="85"/>
      <c r="AK32" s="85"/>
      <c r="AL32" s="85"/>
      <c r="AM32" s="92"/>
      <c r="AN32" s="85"/>
      <c r="AO32" s="85"/>
      <c r="AP32" s="89"/>
      <c r="AQ32" s="89"/>
      <c r="AR32" s="89"/>
      <c r="AS32" s="89"/>
    </row>
    <row r="33" spans="1:45" ht="18.600000000000001" customHeight="1" thickBot="1" x14ac:dyDescent="0.3">
      <c r="A33" s="38"/>
      <c r="B33" s="119" t="s">
        <v>231</v>
      </c>
      <c r="C33" s="795"/>
      <c r="D33" s="796"/>
      <c r="E33" s="671">
        <f>IF(E32="","",IF(E32="Check Data","Check Data",E32))</f>
        <v>0.375</v>
      </c>
      <c r="F33" s="675"/>
      <c r="G33" s="119" t="s">
        <v>231</v>
      </c>
      <c r="H33" s="795" t="str">
        <f>IF(G4="Establishment","Set to 0","RBP")</f>
        <v>RBP</v>
      </c>
      <c r="I33" s="796"/>
      <c r="J33" s="671">
        <f>IF(G4="Establishment",0,IF(J32="","",IF(J32="Check Data","",J32)))</f>
        <v>0.06</v>
      </c>
      <c r="K33" s="147"/>
      <c r="L33" s="146"/>
      <c r="M33" s="119" t="s">
        <v>231</v>
      </c>
      <c r="N33" s="795" t="s">
        <v>472</v>
      </c>
      <c r="O33" s="796"/>
      <c r="P33" s="118">
        <f>IF(P32="","",IF(P32="Check Data","",P32))</f>
        <v>0.12</v>
      </c>
      <c r="Q33" s="147"/>
      <c r="R33" s="119" t="s">
        <v>231</v>
      </c>
      <c r="S33" s="795" t="s">
        <v>472</v>
      </c>
      <c r="T33" s="796"/>
      <c r="U33" s="118">
        <f>IF(U32="","",IF(U32="Check Data","",U32))</f>
        <v>0.18</v>
      </c>
      <c r="V33" s="132"/>
      <c r="W33" s="147"/>
      <c r="X33" s="119" t="s">
        <v>231</v>
      </c>
      <c r="Y33" s="795" t="s">
        <v>472</v>
      </c>
      <c r="Z33" s="796"/>
      <c r="AA33" s="671">
        <f>IF(AA32="","",IF(AA32="Check Data","",AA32))</f>
        <v>0.24</v>
      </c>
      <c r="AB33" s="164"/>
      <c r="AC33" s="180"/>
      <c r="AD33" s="188"/>
      <c r="AE33" s="195"/>
      <c r="AF33" s="195"/>
      <c r="AG33" s="195"/>
      <c r="AH33" s="195"/>
      <c r="AI33" s="85"/>
      <c r="AJ33" s="85"/>
      <c r="AK33" s="85"/>
      <c r="AL33" s="85"/>
      <c r="AM33" s="92"/>
      <c r="AN33" s="85"/>
      <c r="AO33" s="85"/>
      <c r="AP33" s="89"/>
      <c r="AQ33" s="89"/>
      <c r="AR33" s="89"/>
      <c r="AS33" s="89"/>
    </row>
    <row r="34" spans="1:45" ht="42" customHeight="1" thickTop="1" x14ac:dyDescent="0.25">
      <c r="A34" s="38"/>
      <c r="B34" s="865" t="s">
        <v>469</v>
      </c>
      <c r="C34" s="866"/>
      <c r="D34" s="866"/>
      <c r="E34" s="867"/>
      <c r="F34" s="531"/>
      <c r="G34" s="828" t="s">
        <v>470</v>
      </c>
      <c r="H34" s="829"/>
      <c r="I34" s="829"/>
      <c r="J34" s="830"/>
      <c r="K34" s="150"/>
      <c r="L34" s="132"/>
      <c r="M34" s="828" t="s">
        <v>471</v>
      </c>
      <c r="N34" s="829"/>
      <c r="O34" s="829"/>
      <c r="P34" s="830"/>
      <c r="Q34" s="132"/>
      <c r="R34" s="828" t="s">
        <v>471</v>
      </c>
      <c r="S34" s="829"/>
      <c r="T34" s="829"/>
      <c r="U34" s="830"/>
      <c r="V34" s="147"/>
      <c r="W34" s="132"/>
      <c r="X34" s="828" t="s">
        <v>353</v>
      </c>
      <c r="Y34" s="829"/>
      <c r="Z34" s="829"/>
      <c r="AA34" s="830"/>
      <c r="AB34" s="342"/>
      <c r="AC34" s="180"/>
      <c r="AD34" s="189"/>
      <c r="AE34" s="198"/>
      <c r="AF34" s="195"/>
      <c r="AG34" s="195"/>
      <c r="AH34" s="195"/>
      <c r="AI34" s="85"/>
      <c r="AJ34" s="85"/>
      <c r="AK34" s="85"/>
      <c r="AL34" s="85"/>
      <c r="AM34" s="92" t="s">
        <v>325</v>
      </c>
      <c r="AN34" s="85"/>
      <c r="AO34" s="85"/>
      <c r="AP34" s="89"/>
      <c r="AQ34" s="89"/>
      <c r="AR34" s="89"/>
      <c r="AS34" s="89"/>
    </row>
    <row r="35" spans="1:45" ht="18.75" customHeight="1" x14ac:dyDescent="0.25">
      <c r="A35" s="38"/>
      <c r="B35" s="861" t="s">
        <v>330</v>
      </c>
      <c r="C35" s="862"/>
      <c r="D35" s="862"/>
      <c r="E35" s="863"/>
      <c r="F35" s="178"/>
      <c r="G35" s="861" t="s">
        <v>330</v>
      </c>
      <c r="H35" s="862"/>
      <c r="I35" s="862"/>
      <c r="J35" s="863"/>
      <c r="K35" s="1031"/>
      <c r="L35" s="1032"/>
      <c r="M35" s="861" t="s">
        <v>330</v>
      </c>
      <c r="N35" s="862"/>
      <c r="O35" s="862"/>
      <c r="P35" s="863"/>
      <c r="Q35" s="838"/>
      <c r="R35" s="861" t="s">
        <v>330</v>
      </c>
      <c r="S35" s="862"/>
      <c r="T35" s="862"/>
      <c r="U35" s="863"/>
      <c r="V35" s="151"/>
      <c r="W35" s="151"/>
      <c r="X35" s="861" t="s">
        <v>330</v>
      </c>
      <c r="Y35" s="862"/>
      <c r="Z35" s="862"/>
      <c r="AA35" s="863"/>
      <c r="AB35" s="343"/>
      <c r="AC35" s="180" t="s">
        <v>355</v>
      </c>
      <c r="AD35" s="191" t="b">
        <v>0</v>
      </c>
      <c r="AE35" s="197" t="b">
        <v>0</v>
      </c>
      <c r="AF35" s="195"/>
      <c r="AG35" s="195"/>
      <c r="AH35" s="195"/>
      <c r="AI35" s="85"/>
      <c r="AJ35" s="85"/>
      <c r="AK35" s="85"/>
      <c r="AL35" s="85"/>
      <c r="AM35" s="92"/>
      <c r="AN35" s="85"/>
      <c r="AO35" s="85"/>
      <c r="AP35" s="89"/>
      <c r="AQ35" s="89"/>
      <c r="AR35" s="89"/>
      <c r="AS35" s="89"/>
    </row>
    <row r="36" spans="1:45" ht="13.2" customHeight="1" x14ac:dyDescent="0.25">
      <c r="A36" s="38"/>
      <c r="B36" s="853"/>
      <c r="C36" s="854"/>
      <c r="D36" s="854"/>
      <c r="E36" s="855"/>
      <c r="F36" s="343"/>
      <c r="G36" s="275"/>
      <c r="H36" s="854"/>
      <c r="I36" s="854"/>
      <c r="J36" s="855"/>
      <c r="K36" s="1031"/>
      <c r="L36" s="1032"/>
      <c r="M36" s="853"/>
      <c r="N36" s="854"/>
      <c r="O36" s="854"/>
      <c r="P36" s="855"/>
      <c r="Q36" s="838"/>
      <c r="R36" s="853"/>
      <c r="S36" s="854"/>
      <c r="T36" s="854"/>
      <c r="U36" s="855"/>
      <c r="V36" s="151"/>
      <c r="W36" s="151"/>
      <c r="X36" s="853"/>
      <c r="Y36" s="854"/>
      <c r="Z36" s="854"/>
      <c r="AA36" s="855"/>
      <c r="AB36" s="343"/>
      <c r="AC36" s="180" t="s">
        <v>354</v>
      </c>
      <c r="AD36" s="190" t="b">
        <v>0</v>
      </c>
      <c r="AE36" s="198" t="b">
        <v>1</v>
      </c>
      <c r="AF36" s="195"/>
      <c r="AG36" s="195"/>
      <c r="AH36" s="195"/>
      <c r="AI36" s="85"/>
      <c r="AJ36" s="85"/>
      <c r="AK36" s="85"/>
      <c r="AL36" s="85"/>
      <c r="AM36" s="92"/>
      <c r="AN36" s="85"/>
      <c r="AO36" s="85"/>
      <c r="AP36" s="89"/>
      <c r="AQ36" s="89"/>
      <c r="AR36" s="89"/>
      <c r="AS36" s="89"/>
    </row>
    <row r="37" spans="1:45" ht="12" customHeight="1" x14ac:dyDescent="0.25">
      <c r="A37" s="38"/>
      <c r="B37" s="797" t="str">
        <f>IF(AND($AD35=TRUE,$AD36=FALSE,$C7&lt;&gt;'Lists and Arrays'!B13),"If Fe, Al, &amp; Mn are to be included, SO, pH, &amp; DO must also be collected.  Check the box above.","")</f>
        <v/>
      </c>
      <c r="C37" s="798"/>
      <c r="D37" s="798"/>
      <c r="E37" s="799"/>
      <c r="F37" s="343"/>
      <c r="G37" s="790"/>
      <c r="H37" s="791"/>
      <c r="I37" s="791"/>
      <c r="J37" s="792"/>
      <c r="K37" s="1031"/>
      <c r="L37" s="1032"/>
      <c r="M37" s="790"/>
      <c r="N37" s="791"/>
      <c r="O37" s="791"/>
      <c r="P37" s="792"/>
      <c r="Q37" s="838"/>
      <c r="R37" s="790"/>
      <c r="S37" s="791"/>
      <c r="T37" s="791"/>
      <c r="U37" s="792"/>
      <c r="V37" s="151"/>
      <c r="W37" s="151"/>
      <c r="X37" s="790"/>
      <c r="Y37" s="791"/>
      <c r="Z37" s="791"/>
      <c r="AA37" s="792"/>
      <c r="AB37" s="343"/>
      <c r="AC37" s="180"/>
      <c r="AD37" s="191"/>
      <c r="AE37" s="195"/>
      <c r="AF37" s="195"/>
      <c r="AG37" s="195"/>
      <c r="AH37" s="195"/>
      <c r="AI37" s="85"/>
      <c r="AJ37" s="85"/>
      <c r="AK37" s="85"/>
      <c r="AL37" s="85"/>
      <c r="AM37" s="92"/>
      <c r="AN37" s="85"/>
      <c r="AO37" s="85"/>
      <c r="AP37" s="89"/>
      <c r="AQ37" s="89"/>
      <c r="AR37" s="89"/>
      <c r="AS37" s="89"/>
    </row>
    <row r="38" spans="1:45" x14ac:dyDescent="0.25">
      <c r="A38" s="38"/>
      <c r="B38" s="833" t="s">
        <v>232</v>
      </c>
      <c r="C38" s="834"/>
      <c r="D38" s="839" t="s">
        <v>20</v>
      </c>
      <c r="E38" s="77" t="str">
        <f>IF(AND(C7&lt;&gt;'Lists and Arrays'!B13,AD36=FALSE,AD35=FALSE),"N/A","")</f>
        <v>N/A</v>
      </c>
      <c r="F38" s="800"/>
      <c r="G38" s="833" t="s">
        <v>232</v>
      </c>
      <c r="H38" s="834"/>
      <c r="I38" s="839" t="str">
        <f>IF($AE35=FALSE,"0-1","")</f>
        <v>0-1</v>
      </c>
      <c r="J38" s="77"/>
      <c r="K38" s="152"/>
      <c r="L38" s="144"/>
      <c r="M38" s="833" t="s">
        <v>232</v>
      </c>
      <c r="N38" s="834"/>
      <c r="O38" s="839" t="str">
        <f>IF($AE35=FALSE,"0-1","")</f>
        <v>0-1</v>
      </c>
      <c r="P38" s="77"/>
      <c r="Q38" s="838"/>
      <c r="R38" s="833" t="s">
        <v>232</v>
      </c>
      <c r="S38" s="834"/>
      <c r="T38" s="839" t="str">
        <f>IF($AE35=FALSE,"0-1","")</f>
        <v>0-1</v>
      </c>
      <c r="U38" s="77"/>
      <c r="V38" s="152"/>
      <c r="W38" s="152"/>
      <c r="X38" s="833" t="s">
        <v>232</v>
      </c>
      <c r="Y38" s="834"/>
      <c r="Z38" s="839" t="str">
        <f>IF($AE35=FALSE,"0-1","")</f>
        <v>0-1</v>
      </c>
      <c r="AA38" s="77"/>
      <c r="AB38" s="344"/>
      <c r="AC38" s="180"/>
      <c r="AD38" s="192" t="s">
        <v>157</v>
      </c>
      <c r="AE38" s="201" t="s">
        <v>157</v>
      </c>
      <c r="AF38" s="201" t="s">
        <v>157</v>
      </c>
      <c r="AG38" s="201" t="s">
        <v>157</v>
      </c>
      <c r="AH38" s="201" t="s">
        <v>157</v>
      </c>
      <c r="AI38" s="85"/>
      <c r="AJ38" s="85"/>
      <c r="AK38" s="85"/>
      <c r="AL38" s="85"/>
      <c r="AM38" s="92"/>
      <c r="AN38" s="85"/>
      <c r="AO38" s="85"/>
      <c r="AP38" s="89"/>
      <c r="AQ38" s="89"/>
      <c r="AR38" s="89"/>
      <c r="AS38" s="89"/>
    </row>
    <row r="39" spans="1:45" ht="7.95" customHeight="1" x14ac:dyDescent="0.25">
      <c r="A39" s="38"/>
      <c r="B39" s="788" t="str">
        <f>IF($C$7="Ephemeral","N/A",'Lists and Arrays'!$F11)</f>
        <v>Assumed Value = 85 pts</v>
      </c>
      <c r="C39" s="803" t="s">
        <v>61</v>
      </c>
      <c r="D39" s="840"/>
      <c r="E39" s="783">
        <v>2</v>
      </c>
      <c r="F39" s="800"/>
      <c r="G39" s="788" t="str">
        <f>IF($H$7='Lists and Arrays'!B14,"N/A",'Lists and Arrays'!$H11)</f>
        <v>&lt;100 = 90 points</v>
      </c>
      <c r="H39" s="803" t="s">
        <v>61</v>
      </c>
      <c r="I39" s="840"/>
      <c r="J39" s="783">
        <v>2</v>
      </c>
      <c r="K39" s="132"/>
      <c r="L39" s="147"/>
      <c r="M39" s="788" t="str">
        <f>IF($H$7='Lists and Arrays'!B14,"N/A",'Lists and Arrays'!$J11)</f>
        <v>&lt;100 = 90 points</v>
      </c>
      <c r="N39" s="803" t="s">
        <v>61</v>
      </c>
      <c r="O39" s="840"/>
      <c r="P39" s="783">
        <v>3</v>
      </c>
      <c r="Q39" s="838"/>
      <c r="R39" s="788" t="str">
        <f>IF($H$7='Lists and Arrays'!B14,"N/A",'Lists and Arrays'!$L11)</f>
        <v>&lt;100 = 90 points</v>
      </c>
      <c r="S39" s="803" t="s">
        <v>61</v>
      </c>
      <c r="T39" s="840"/>
      <c r="U39" s="783">
        <v>6</v>
      </c>
      <c r="V39" s="153"/>
      <c r="W39" s="154"/>
      <c r="X39" s="788" t="str">
        <f>IF($H$7='Lists and Arrays'!B14,"N/A",'Lists and Arrays'!$N11)</f>
        <v>&lt;100 = 90 points</v>
      </c>
      <c r="Y39" s="803" t="s">
        <v>61</v>
      </c>
      <c r="Z39" s="840"/>
      <c r="AA39" s="805">
        <v>8</v>
      </c>
      <c r="AB39" s="345"/>
      <c r="AC39" s="180"/>
      <c r="AD39" s="210">
        <f>'Lists and Arrays'!G11</f>
        <v>85</v>
      </c>
      <c r="AE39" s="211">
        <f>'Lists and Arrays'!$I11</f>
        <v>90</v>
      </c>
      <c r="AF39" s="211">
        <f>'Lists and Arrays'!$K11</f>
        <v>90</v>
      </c>
      <c r="AG39" s="211">
        <f>'Lists and Arrays'!$M11</f>
        <v>90</v>
      </c>
      <c r="AH39" s="211">
        <f>'Lists and Arrays'!$O11</f>
        <v>90</v>
      </c>
      <c r="AI39" s="85"/>
      <c r="AJ39" s="85"/>
      <c r="AK39" s="85"/>
      <c r="AL39" s="85"/>
      <c r="AM39" s="92"/>
      <c r="AN39" s="85"/>
      <c r="AO39" s="85"/>
      <c r="AP39" s="89"/>
      <c r="AQ39" s="89"/>
      <c r="AR39" s="89"/>
      <c r="AS39" s="89"/>
    </row>
    <row r="40" spans="1:45" ht="7.95" customHeight="1" x14ac:dyDescent="0.25">
      <c r="A40" s="38"/>
      <c r="B40" s="789"/>
      <c r="C40" s="804"/>
      <c r="D40" s="840"/>
      <c r="E40" s="784"/>
      <c r="F40" s="800"/>
      <c r="G40" s="789"/>
      <c r="H40" s="804"/>
      <c r="I40" s="840"/>
      <c r="J40" s="784"/>
      <c r="K40" s="148"/>
      <c r="L40" s="147"/>
      <c r="M40" s="789"/>
      <c r="N40" s="804"/>
      <c r="O40" s="840"/>
      <c r="P40" s="784"/>
      <c r="Q40" s="838"/>
      <c r="R40" s="789"/>
      <c r="S40" s="804"/>
      <c r="T40" s="840"/>
      <c r="U40" s="784"/>
      <c r="V40" s="155"/>
      <c r="W40" s="154"/>
      <c r="X40" s="789"/>
      <c r="Y40" s="804"/>
      <c r="Z40" s="840"/>
      <c r="AA40" s="806"/>
      <c r="AB40" s="346"/>
      <c r="AC40" s="180"/>
      <c r="AD40" s="285"/>
      <c r="AE40" s="214"/>
      <c r="AF40" s="214"/>
      <c r="AG40" s="214"/>
      <c r="AH40" s="214"/>
      <c r="AI40" s="85"/>
      <c r="AJ40" s="85"/>
      <c r="AK40" s="85"/>
      <c r="AL40" s="85"/>
      <c r="AM40" s="92"/>
      <c r="AN40" s="85"/>
      <c r="AO40" s="85"/>
      <c r="AP40" s="89"/>
      <c r="AQ40" s="89"/>
      <c r="AR40" s="89"/>
      <c r="AS40" s="89"/>
    </row>
    <row r="41" spans="1:45" x14ac:dyDescent="0.25">
      <c r="A41" s="38"/>
      <c r="B41" s="669" t="s">
        <v>0</v>
      </c>
      <c r="C41" s="79"/>
      <c r="D41" s="840"/>
      <c r="E41" s="77" t="str">
        <f>IF(AND(C7&lt;&gt;'Lists and Arrays'!B13,AD36=FALSE,AD35=FALSE),"N/A","")</f>
        <v>N/A</v>
      </c>
      <c r="F41" s="800"/>
      <c r="G41" s="183" t="s">
        <v>0</v>
      </c>
      <c r="H41" s="79"/>
      <c r="I41" s="840"/>
      <c r="J41" s="77"/>
      <c r="K41" s="152"/>
      <c r="L41" s="147"/>
      <c r="M41" s="183" t="s">
        <v>0</v>
      </c>
      <c r="N41" s="79"/>
      <c r="O41" s="840"/>
      <c r="P41" s="77"/>
      <c r="Q41" s="838"/>
      <c r="R41" s="183" t="s">
        <v>0</v>
      </c>
      <c r="S41" s="79"/>
      <c r="T41" s="840"/>
      <c r="U41" s="77"/>
      <c r="V41" s="148"/>
      <c r="W41" s="152"/>
      <c r="X41" s="183" t="s">
        <v>0</v>
      </c>
      <c r="Y41" s="79"/>
      <c r="Z41" s="840"/>
      <c r="AA41" s="77"/>
      <c r="AB41" s="259"/>
      <c r="AC41" s="180"/>
      <c r="AD41" s="212" t="s">
        <v>0</v>
      </c>
      <c r="AE41" s="213" t="s">
        <v>0</v>
      </c>
      <c r="AF41" s="213" t="s">
        <v>0</v>
      </c>
      <c r="AG41" s="213" t="s">
        <v>0</v>
      </c>
      <c r="AH41" s="213" t="s">
        <v>0</v>
      </c>
      <c r="AI41" s="85"/>
      <c r="AJ41" s="85"/>
      <c r="AK41" s="85"/>
      <c r="AL41" s="85"/>
      <c r="AM41" s="88"/>
      <c r="AN41" s="85"/>
      <c r="AO41" s="85"/>
      <c r="AP41" s="89"/>
      <c r="AQ41" s="89"/>
      <c r="AR41" s="89"/>
      <c r="AS41" s="89"/>
    </row>
    <row r="42" spans="1:45" ht="7.95" customHeight="1" x14ac:dyDescent="0.25">
      <c r="A42" s="38"/>
      <c r="B42" s="856" t="str">
        <f>IF($C$7="Ephemeral","N/A",'Lists and Arrays'!$F18)</f>
        <v>Assumed Value = 45 pts</v>
      </c>
      <c r="C42" s="803" t="s">
        <v>62</v>
      </c>
      <c r="D42" s="840"/>
      <c r="E42" s="783">
        <v>3</v>
      </c>
      <c r="F42" s="800"/>
      <c r="G42" s="801" t="str">
        <f>IF($H$7="Ephemeral","N/A",'Lists and Arrays'!$H18)</f>
        <v>&lt;3.60 = 0 points</v>
      </c>
      <c r="H42" s="803" t="s">
        <v>62</v>
      </c>
      <c r="I42" s="840"/>
      <c r="J42" s="783">
        <v>3</v>
      </c>
      <c r="K42" s="148"/>
      <c r="L42" s="147"/>
      <c r="M42" s="801" t="str">
        <f>IF($H$7="Ephemeral","N/A",'Lists and Arrays'!$J18)</f>
        <v>3.60-4.50 = 5 points</v>
      </c>
      <c r="N42" s="803" t="s">
        <v>62</v>
      </c>
      <c r="O42" s="840"/>
      <c r="P42" s="783">
        <v>4</v>
      </c>
      <c r="Q42" s="838"/>
      <c r="R42" s="801" t="str">
        <f>IF($H$7="Ephemeral","N/A",'Lists and Arrays'!$L18)</f>
        <v>6.00-8.00 = 80 points</v>
      </c>
      <c r="S42" s="803" t="s">
        <v>62</v>
      </c>
      <c r="T42" s="840"/>
      <c r="U42" s="783">
        <v>6</v>
      </c>
      <c r="V42" s="153"/>
      <c r="W42" s="154"/>
      <c r="X42" s="801" t="str">
        <f>IF($H$7="Ephemeral","N/A",'Lists and Arrays'!$N18)</f>
        <v>6.00-8.00 = 80 points</v>
      </c>
      <c r="Y42" s="803" t="s">
        <v>62</v>
      </c>
      <c r="Z42" s="840"/>
      <c r="AA42" s="805">
        <v>6</v>
      </c>
      <c r="AB42" s="345"/>
      <c r="AC42" s="180"/>
      <c r="AD42" s="210">
        <f>'Lists and Arrays'!$G18</f>
        <v>45</v>
      </c>
      <c r="AE42" s="211">
        <f>'Lists and Arrays'!$I18</f>
        <v>0</v>
      </c>
      <c r="AF42" s="211">
        <f>'Lists and Arrays'!$K18</f>
        <v>5</v>
      </c>
      <c r="AG42" s="211">
        <f>'Lists and Arrays'!$M18</f>
        <v>80</v>
      </c>
      <c r="AH42" s="211">
        <f>'Lists and Arrays'!$O18</f>
        <v>80</v>
      </c>
      <c r="AI42" s="85"/>
      <c r="AJ42" s="85"/>
      <c r="AK42" s="85"/>
      <c r="AL42" s="85"/>
      <c r="AM42" s="85"/>
      <c r="AN42" s="85"/>
      <c r="AO42" s="85"/>
      <c r="AP42" s="89"/>
      <c r="AQ42" s="89"/>
      <c r="AR42" s="89"/>
      <c r="AS42" s="89"/>
    </row>
    <row r="43" spans="1:45" ht="7.95" customHeight="1" x14ac:dyDescent="0.25">
      <c r="A43" s="38"/>
      <c r="B43" s="857"/>
      <c r="C43" s="804"/>
      <c r="D43" s="840"/>
      <c r="E43" s="784"/>
      <c r="F43" s="800"/>
      <c r="G43" s="802"/>
      <c r="H43" s="804"/>
      <c r="I43" s="840"/>
      <c r="J43" s="784"/>
      <c r="K43" s="148"/>
      <c r="L43" s="144"/>
      <c r="M43" s="802"/>
      <c r="N43" s="804"/>
      <c r="O43" s="840"/>
      <c r="P43" s="784"/>
      <c r="Q43" s="838"/>
      <c r="R43" s="802"/>
      <c r="S43" s="804"/>
      <c r="T43" s="840"/>
      <c r="U43" s="784"/>
      <c r="V43" s="156"/>
      <c r="W43" s="157"/>
      <c r="X43" s="802"/>
      <c r="Y43" s="804"/>
      <c r="Z43" s="840"/>
      <c r="AA43" s="806"/>
      <c r="AB43" s="347"/>
      <c r="AC43" s="180"/>
      <c r="AD43" s="285"/>
      <c r="AE43" s="214"/>
      <c r="AF43" s="214"/>
      <c r="AG43" s="214"/>
      <c r="AH43" s="214"/>
      <c r="AI43" s="85"/>
      <c r="AJ43" s="85"/>
      <c r="AK43" s="85"/>
      <c r="AL43" s="85"/>
      <c r="AM43" s="85"/>
      <c r="AN43" s="85"/>
      <c r="AO43" s="85"/>
      <c r="AP43" s="89"/>
      <c r="AQ43" s="89"/>
      <c r="AR43" s="89"/>
      <c r="AS43" s="89"/>
    </row>
    <row r="44" spans="1:45" ht="12.75" customHeight="1" x14ac:dyDescent="0.25">
      <c r="A44" s="38"/>
      <c r="B44" s="669" t="s">
        <v>233</v>
      </c>
      <c r="C44" s="79"/>
      <c r="D44" s="840"/>
      <c r="E44" s="77" t="str">
        <f>IF(AND(C7&lt;&gt;'Lists and Arrays'!B13,AD36=FALSE,AD35=FALSE),"N/A","")</f>
        <v>N/A</v>
      </c>
      <c r="F44" s="800"/>
      <c r="G44" s="183" t="s">
        <v>233</v>
      </c>
      <c r="H44" s="79"/>
      <c r="I44" s="840"/>
      <c r="J44" s="77"/>
      <c r="K44" s="152"/>
      <c r="L44" s="147"/>
      <c r="M44" s="183" t="s">
        <v>233</v>
      </c>
      <c r="N44" s="79"/>
      <c r="O44" s="840"/>
      <c r="P44" s="77"/>
      <c r="Q44" s="838"/>
      <c r="R44" s="183" t="s">
        <v>233</v>
      </c>
      <c r="S44" s="79"/>
      <c r="T44" s="840"/>
      <c r="U44" s="77"/>
      <c r="V44" s="148"/>
      <c r="W44" s="152"/>
      <c r="X44" s="183" t="s">
        <v>233</v>
      </c>
      <c r="Y44" s="79"/>
      <c r="Z44" s="840"/>
      <c r="AA44" s="77"/>
      <c r="AB44" s="259"/>
      <c r="AC44" s="180"/>
      <c r="AD44" s="212" t="s">
        <v>1</v>
      </c>
      <c r="AE44" s="213" t="s">
        <v>1</v>
      </c>
      <c r="AF44" s="213" t="s">
        <v>1</v>
      </c>
      <c r="AG44" s="213" t="s">
        <v>1</v>
      </c>
      <c r="AH44" s="213" t="s">
        <v>1</v>
      </c>
      <c r="AI44" s="85"/>
      <c r="AJ44" s="85"/>
      <c r="AK44" s="85"/>
      <c r="AL44" s="85"/>
      <c r="AM44" s="85"/>
      <c r="AN44" s="85"/>
      <c r="AO44" s="85"/>
      <c r="AP44" s="89"/>
      <c r="AQ44" s="89"/>
      <c r="AR44" s="89"/>
      <c r="AS44" s="89"/>
    </row>
    <row r="45" spans="1:45" ht="7.95" customHeight="1" x14ac:dyDescent="0.25">
      <c r="A45" s="38"/>
      <c r="B45" s="877" t="str">
        <f>IF($C$7="Ephemeral","N/A",'Lists and Arrays'!$F25)</f>
        <v>Assumed Value = 30 pts</v>
      </c>
      <c r="C45" s="793" t="s">
        <v>206</v>
      </c>
      <c r="D45" s="840"/>
      <c r="E45" s="783"/>
      <c r="F45" s="800"/>
      <c r="G45" s="788" t="str">
        <f>'Lists and Arrays'!$H25</f>
        <v>0.1 - 4.9 = 10 points</v>
      </c>
      <c r="H45" s="793" t="s">
        <v>206</v>
      </c>
      <c r="I45" s="840"/>
      <c r="J45" s="783">
        <v>4</v>
      </c>
      <c r="K45" s="148"/>
      <c r="L45" s="147"/>
      <c r="M45" s="788" t="str">
        <f>'Lists and Arrays'!$J25</f>
        <v>5 or greater = 30 points</v>
      </c>
      <c r="N45" s="793" t="s">
        <v>206</v>
      </c>
      <c r="O45" s="840"/>
      <c r="P45" s="783">
        <v>5</v>
      </c>
      <c r="Q45" s="838"/>
      <c r="R45" s="788" t="str">
        <f>'Lists and Arrays'!$L25</f>
        <v>5 or greater = 30 points</v>
      </c>
      <c r="S45" s="793" t="s">
        <v>206</v>
      </c>
      <c r="T45" s="840"/>
      <c r="U45" s="783">
        <v>6</v>
      </c>
      <c r="V45" s="153"/>
      <c r="W45" s="156"/>
      <c r="X45" s="788" t="str">
        <f>'Lists and Arrays'!$N25</f>
        <v>5 or greater = 30 points</v>
      </c>
      <c r="Y45" s="793" t="s">
        <v>206</v>
      </c>
      <c r="Z45" s="840"/>
      <c r="AA45" s="805">
        <v>6</v>
      </c>
      <c r="AB45" s="345"/>
      <c r="AC45" s="180"/>
      <c r="AD45" s="210">
        <f>'Lists and Arrays'!$G25</f>
        <v>30</v>
      </c>
      <c r="AE45" s="211">
        <f>'Lists and Arrays'!$I25</f>
        <v>10</v>
      </c>
      <c r="AF45" s="211">
        <f>'Lists and Arrays'!$K25</f>
        <v>30</v>
      </c>
      <c r="AG45" s="211">
        <f>'Lists and Arrays'!$M25</f>
        <v>30</v>
      </c>
      <c r="AH45" s="211">
        <f>'Lists and Arrays'!$O25</f>
        <v>30</v>
      </c>
      <c r="AI45" s="85"/>
      <c r="AJ45" s="85"/>
      <c r="AK45" s="85"/>
      <c r="AL45" s="85"/>
      <c r="AM45" s="85"/>
      <c r="AN45" s="85"/>
      <c r="AO45" s="85"/>
      <c r="AP45" s="89"/>
      <c r="AQ45" s="89"/>
      <c r="AR45" s="89"/>
      <c r="AS45" s="89"/>
    </row>
    <row r="46" spans="1:45" ht="7.95" customHeight="1" x14ac:dyDescent="0.25">
      <c r="A46" s="38"/>
      <c r="B46" s="878"/>
      <c r="C46" s="794"/>
      <c r="D46" s="850"/>
      <c r="E46" s="879"/>
      <c r="F46" s="800"/>
      <c r="G46" s="789"/>
      <c r="H46" s="794"/>
      <c r="I46" s="840"/>
      <c r="J46" s="784"/>
      <c r="K46" s="148"/>
      <c r="L46" s="147"/>
      <c r="M46" s="789"/>
      <c r="N46" s="794"/>
      <c r="O46" s="850"/>
      <c r="P46" s="784"/>
      <c r="Q46" s="838"/>
      <c r="R46" s="789"/>
      <c r="S46" s="794"/>
      <c r="T46" s="840"/>
      <c r="U46" s="784"/>
      <c r="V46" s="156"/>
      <c r="W46" s="156"/>
      <c r="X46" s="789"/>
      <c r="Y46" s="794"/>
      <c r="Z46" s="850"/>
      <c r="AA46" s="806"/>
      <c r="AB46" s="347"/>
      <c r="AC46" s="180"/>
      <c r="AD46" s="285"/>
      <c r="AE46" s="214"/>
      <c r="AF46" s="214"/>
      <c r="AG46" s="214"/>
      <c r="AH46" s="214"/>
      <c r="AI46" s="85"/>
      <c r="AJ46" s="85"/>
      <c r="AK46" s="85"/>
      <c r="AL46" s="85"/>
      <c r="AM46" s="85"/>
      <c r="AN46" s="85"/>
      <c r="AO46" s="85"/>
      <c r="AP46" s="89"/>
      <c r="AQ46" s="89"/>
      <c r="AR46" s="89"/>
      <c r="AS46" s="89"/>
    </row>
    <row r="47" spans="1:45" ht="16.2" hidden="1" customHeight="1" thickBot="1" x14ac:dyDescent="0.3">
      <c r="A47" s="38"/>
      <c r="B47" s="785" t="s">
        <v>327</v>
      </c>
      <c r="C47" s="786"/>
      <c r="D47" s="787"/>
      <c r="E47" s="286">
        <f>IF(C7="Ephemeral","N/A",IF(C7='Lists and Arrays'!B13,"Stream Class",IF(AND(C7&lt;&gt;"Ephemeral",$AD35=TRUE,$AD36=FALSE),"Check Data",$AD57)))</f>
        <v>0.8</v>
      </c>
      <c r="F47" s="800"/>
      <c r="G47" s="785" t="s">
        <v>327</v>
      </c>
      <c r="H47" s="786"/>
      <c r="I47" s="787"/>
      <c r="J47" s="286">
        <f>IF(H7='Lists and Arrays'!B13,"Check Data",IF(H7="Ephemeral","N/A",IF(G4="Establishment",0,IF(AND(H7&lt;&gt;"Ephemeral",$AE35=TRUE,$AE36=FALSE),"Check Data",$AE57))))</f>
        <v>0.5</v>
      </c>
      <c r="K47" s="148"/>
      <c r="L47" s="147"/>
      <c r="M47" s="785" t="s">
        <v>327</v>
      </c>
      <c r="N47" s="786"/>
      <c r="O47" s="787"/>
      <c r="P47" s="286">
        <f>IF(H7='Lists and Arrays'!B13,"Check Data",IF(H7="Ephemeral","N/A",IF(AND(H7&lt;&gt;"Ephemeral",$AE35=TRUE,$AE36=FALSE),"Check Data",$AF57)))</f>
        <v>0.625</v>
      </c>
      <c r="Q47" s="838"/>
      <c r="R47" s="785" t="s">
        <v>327</v>
      </c>
      <c r="S47" s="786"/>
      <c r="T47" s="787"/>
      <c r="U47" s="286">
        <f>IF(H7='Lists and Arrays'!B13,"Check Data",IF(H7="Ephemeral","N/A",IF(AND(H7&lt;&gt;"Ephemeral",$AE35=TRUE,$AE36=FALSE),"Check Data",$AG57)))</f>
        <v>1</v>
      </c>
      <c r="V47" s="156"/>
      <c r="W47" s="156"/>
      <c r="X47" s="785" t="s">
        <v>327</v>
      </c>
      <c r="Y47" s="786"/>
      <c r="Z47" s="787"/>
      <c r="AA47" s="286">
        <f>IF(H7='Lists and Arrays'!B13,"Check Data",IF(H7="Ephemeral","N/A",IF(AND(H7&lt;&gt;"Ephemeral",$AE35=TRUE,$AE36=FALSE),"Check Data",$AH57)))</f>
        <v>1</v>
      </c>
      <c r="AB47" s="347"/>
      <c r="AC47" s="180"/>
      <c r="AD47" s="285"/>
      <c r="AE47" s="214"/>
      <c r="AF47" s="214"/>
      <c r="AG47" s="214"/>
      <c r="AH47" s="214"/>
      <c r="AI47" s="85"/>
      <c r="AJ47" s="85"/>
      <c r="AK47" s="85"/>
      <c r="AL47" s="85"/>
      <c r="AM47" s="85"/>
      <c r="AN47" s="85"/>
      <c r="AO47" s="85"/>
      <c r="AP47" s="89"/>
      <c r="AQ47" s="89"/>
      <c r="AR47" s="89"/>
      <c r="AS47" s="89"/>
    </row>
    <row r="48" spans="1:45" ht="41.4" hidden="1" customHeight="1" x14ac:dyDescent="0.25">
      <c r="A48" s="106"/>
      <c r="B48" s="880" t="s">
        <v>333</v>
      </c>
      <c r="C48" s="880"/>
      <c r="D48" s="880"/>
      <c r="E48" s="881"/>
      <c r="F48" s="800"/>
      <c r="G48" s="835" t="s">
        <v>328</v>
      </c>
      <c r="H48" s="836"/>
      <c r="I48" s="836"/>
      <c r="J48" s="837"/>
      <c r="K48" s="148"/>
      <c r="L48" s="147"/>
      <c r="M48" s="835" t="s">
        <v>332</v>
      </c>
      <c r="N48" s="836"/>
      <c r="O48" s="836"/>
      <c r="P48" s="837"/>
      <c r="Q48" s="838"/>
      <c r="R48" s="836" t="s">
        <v>331</v>
      </c>
      <c r="S48" s="836"/>
      <c r="T48" s="836"/>
      <c r="U48" s="837"/>
      <c r="V48" s="156"/>
      <c r="W48" s="156"/>
      <c r="X48" s="835" t="s">
        <v>331</v>
      </c>
      <c r="Y48" s="836"/>
      <c r="Z48" s="836"/>
      <c r="AA48" s="837"/>
      <c r="AB48" s="347"/>
      <c r="AC48" s="180"/>
      <c r="AD48" s="285"/>
      <c r="AE48" s="214"/>
      <c r="AF48" s="214"/>
      <c r="AG48" s="214"/>
      <c r="AH48" s="214"/>
      <c r="AI48" s="85"/>
      <c r="AJ48" s="85"/>
      <c r="AK48" s="85"/>
      <c r="AL48" s="85"/>
      <c r="AM48" s="85"/>
      <c r="AN48" s="85"/>
      <c r="AO48" s="85"/>
      <c r="AP48" s="89"/>
      <c r="AQ48" s="89"/>
      <c r="AR48" s="89"/>
      <c r="AS48" s="89"/>
    </row>
    <row r="49" spans="1:45" ht="13.2" hidden="1" customHeight="1" x14ac:dyDescent="0.25">
      <c r="A49" s="106"/>
      <c r="B49" s="851" t="s">
        <v>234</v>
      </c>
      <c r="C49" s="852"/>
      <c r="D49" s="840" t="str">
        <f>IF(AD35=TRUE,"0.1-1","")</f>
        <v/>
      </c>
      <c r="E49" s="80"/>
      <c r="F49" s="800"/>
      <c r="G49" s="992" t="s">
        <v>234</v>
      </c>
      <c r="H49" s="993"/>
      <c r="I49" s="831" t="str">
        <f>IF($AE35=TRUE,"0-1","")</f>
        <v/>
      </c>
      <c r="J49" s="80"/>
      <c r="K49" s="152"/>
      <c r="L49" s="144"/>
      <c r="M49" s="992" t="s">
        <v>234</v>
      </c>
      <c r="N49" s="993"/>
      <c r="O49" s="831" t="str">
        <f>IF($AE35=TRUE,"0-1","")</f>
        <v/>
      </c>
      <c r="P49" s="80"/>
      <c r="Q49" s="838"/>
      <c r="R49" s="992" t="s">
        <v>234</v>
      </c>
      <c r="S49" s="993"/>
      <c r="T49" s="831" t="str">
        <f>IF($AE35=TRUE,"0-1","")</f>
        <v/>
      </c>
      <c r="U49" s="80"/>
      <c r="V49" s="152"/>
      <c r="W49" s="152"/>
      <c r="X49" s="992" t="s">
        <v>234</v>
      </c>
      <c r="Y49" s="993"/>
      <c r="Z49" s="831" t="str">
        <f>IF($AE35=TRUE,"0-1","")</f>
        <v/>
      </c>
      <c r="AA49" s="80"/>
      <c r="AB49" s="344"/>
      <c r="AC49" s="180"/>
      <c r="AD49" s="212" t="s">
        <v>154</v>
      </c>
      <c r="AE49" s="213" t="s">
        <v>154</v>
      </c>
      <c r="AF49" s="213" t="s">
        <v>154</v>
      </c>
      <c r="AG49" s="213" t="s">
        <v>154</v>
      </c>
      <c r="AH49" s="213" t="s">
        <v>154</v>
      </c>
      <c r="AI49" s="85"/>
      <c r="AJ49" s="85"/>
      <c r="AK49" s="85"/>
      <c r="AL49" s="85"/>
      <c r="AM49" s="85"/>
      <c r="AN49" s="85"/>
      <c r="AO49" s="85"/>
      <c r="AP49" s="89"/>
      <c r="AQ49" s="89"/>
      <c r="AR49" s="89"/>
      <c r="AS49" s="89"/>
    </row>
    <row r="50" spans="1:45" ht="7.95" hidden="1" customHeight="1" x14ac:dyDescent="0.25">
      <c r="A50" s="38"/>
      <c r="B50" s="801" t="str">
        <f>IF($C9='Lists and Arrays'!$B6,'Lists and Arrays'!$F27,IF($C9='Lists and Arrays'!$B7,'Lists and Arrays'!$F28,IF($C9='Lists and Arrays'!$B8,'Lists and Arrays'!$F29,IF($C9='Lists and Arrays'!$B9,'Lists and Arrays'!$F30,IF($C9='Lists and Arrays'!$B10,'Lists and Arrays'!$F31,"Select an Ecoregion")))))</f>
        <v>Select an Ecoregion</v>
      </c>
      <c r="C50" s="803" t="s">
        <v>62</v>
      </c>
      <c r="D50" s="840"/>
      <c r="E50" s="805"/>
      <c r="F50" s="800"/>
      <c r="G50" s="801" t="str">
        <f>IF($H9='Lists and Arrays'!$B6,'Lists and Arrays'!$H27,IF($H9='Lists and Arrays'!$B7,'Lists and Arrays'!$H28,IF($H9='Lists and Arrays'!$B8,'Lists and Arrays'!$H29,IF($H9='Lists and Arrays'!$B9,'Lists and Arrays'!$H30,IF($H9='Lists and Arrays'!$B10,'Lists and Arrays'!$H31,"Select an Ecoregion")))))</f>
        <v>Select an Ecoregion</v>
      </c>
      <c r="H50" s="803" t="s">
        <v>62</v>
      </c>
      <c r="I50" s="831"/>
      <c r="J50" s="805"/>
      <c r="K50" s="132"/>
      <c r="L50" s="147"/>
      <c r="M50" s="801" t="str">
        <f>IF($H9='Lists and Arrays'!$B6,'Lists and Arrays'!$J27,IF($H9='Lists and Arrays'!$B7,'Lists and Arrays'!$J28,IF($H9='Lists and Arrays'!$B8,'Lists and Arrays'!$J29,IF($H9='Lists and Arrays'!$B9,'Lists and Arrays'!$J30,IF($H9='Lists and Arrays'!$B10,'Lists and Arrays'!$J31,"Select an Ecoregion")))))</f>
        <v>Select an Ecoregion</v>
      </c>
      <c r="N50" s="803" t="s">
        <v>62</v>
      </c>
      <c r="O50" s="831"/>
      <c r="P50" s="805"/>
      <c r="Q50" s="838"/>
      <c r="R50" s="801" t="str">
        <f>IF($H9='Lists and Arrays'!$B6,'Lists and Arrays'!$L27,IF($H9='Lists and Arrays'!$B7,'Lists and Arrays'!$L28,IF($H9='Lists and Arrays'!$B8,'Lists and Arrays'!$L29,IF($H9='Lists and Arrays'!$B9,'Lists and Arrays'!$L30,IF($H9='Lists and Arrays'!$B10,'Lists and Arrays'!$L31,"Select an Ecoregion")))))</f>
        <v>Select an Ecoregion</v>
      </c>
      <c r="S50" s="803" t="s">
        <v>62</v>
      </c>
      <c r="T50" s="831"/>
      <c r="U50" s="805"/>
      <c r="V50" s="153"/>
      <c r="W50" s="154"/>
      <c r="X50" s="801" t="str">
        <f>IF($H9='Lists and Arrays'!$B6,'Lists and Arrays'!$N27,IF($H9='Lists and Arrays'!$B7,'Lists and Arrays'!$N28,IF($H9='Lists and Arrays'!$B8,'Lists and Arrays'!$N29,IF($H9='Lists and Arrays'!$B9,'Lists and Arrays'!$N30,IF($H9='Lists and Arrays'!$B10,'Lists and Arrays'!$N31,"Select an Ecoregion")))))</f>
        <v>Select an Ecoregion</v>
      </c>
      <c r="Y50" s="803" t="s">
        <v>62</v>
      </c>
      <c r="Z50" s="831"/>
      <c r="AA50" s="805"/>
      <c r="AB50" s="345"/>
      <c r="AC50" s="180"/>
      <c r="AD50" s="191" t="str">
        <f>IF($C9='Lists and Arrays'!$B6,'Lists and Arrays'!$G27,IF($C9='Lists and Arrays'!$B7,'Lists and Arrays'!$G28,IF($C9='Lists and Arrays'!$B8,'Lists and Arrays'!$G29,IF($C9='Lists and Arrays'!$B9,'Lists and Arrays'!$G30,IF($C9='Lists and Arrays'!$B10,'Lists and Arrays'!$G31,"Select an Ecoregion")))))</f>
        <v>Select an Ecoregion</v>
      </c>
      <c r="AE50" s="202" t="str">
        <f>IF($H9='Lists and Arrays'!$B6,'Lists and Arrays'!$I27,IF($H9='Lists and Arrays'!$B7,'Lists and Arrays'!$I28,IF($H9='Lists and Arrays'!$B8,'Lists and Arrays'!$I29,IF($H9='Lists and Arrays'!$B9,'Lists and Arrays'!$I30,IF($H9='Lists and Arrays'!$B10,'Lists and Arrays'!$I31,"Select an Ecoregion")))))</f>
        <v>Select an Ecoregion</v>
      </c>
      <c r="AF50" s="202" t="str">
        <f>IF($H9='Lists and Arrays'!$B6,'Lists and Arrays'!$K27,IF($H9='Lists and Arrays'!$B7,'Lists and Arrays'!$K28,IF($H9='Lists and Arrays'!$B8,'Lists and Arrays'!$K29,IF($H9='Lists and Arrays'!$B9,'Lists and Arrays'!$K30,IF($H9='Lists and Arrays'!$B10,'Lists and Arrays'!$K31,"Select an Ecoregion")))))</f>
        <v>Select an Ecoregion</v>
      </c>
      <c r="AG50" s="202" t="str">
        <f>IF($H9='Lists and Arrays'!$B6,'Lists and Arrays'!$M27,IF($H9='Lists and Arrays'!$B7,'Lists and Arrays'!$M28,IF($H9='Lists and Arrays'!$B8,'Lists and Arrays'!$M29,IF($H9='Lists and Arrays'!$B9,'Lists and Arrays'!$M30,IF($H9='Lists and Arrays'!$B10,'Lists and Arrays'!$M31,"Select an Ecoregion")))))</f>
        <v>Select an Ecoregion</v>
      </c>
      <c r="AH50" s="202" t="str">
        <f>IF($H9='Lists and Arrays'!$B6,'Lists and Arrays'!$O27,IF($H9='Lists and Arrays'!$B7,'Lists and Arrays'!$O28,IF($H9='Lists and Arrays'!$B8,'Lists and Arrays'!$O29,IF($H9='Lists and Arrays'!$B9,'Lists and Arrays'!$O30,IF($H9='Lists and Arrays'!$B10,'Lists and Arrays'!$O31,"Select an Ecoregion")))))</f>
        <v>Select an Ecoregion</v>
      </c>
      <c r="AI50" s="85"/>
      <c r="AJ50" s="85"/>
      <c r="AK50" s="85"/>
      <c r="AL50" s="85"/>
      <c r="AM50" s="85"/>
      <c r="AN50" s="85"/>
      <c r="AO50" s="85"/>
      <c r="AP50" s="89"/>
      <c r="AQ50" s="89"/>
      <c r="AR50" s="89"/>
      <c r="AS50" s="89"/>
    </row>
    <row r="51" spans="1:45" ht="7.95" hidden="1" customHeight="1" x14ac:dyDescent="0.25">
      <c r="A51" s="38"/>
      <c r="B51" s="802"/>
      <c r="C51" s="804"/>
      <c r="D51" s="840"/>
      <c r="E51" s="806"/>
      <c r="F51" s="800"/>
      <c r="G51" s="802"/>
      <c r="H51" s="804"/>
      <c r="I51" s="831"/>
      <c r="J51" s="806"/>
      <c r="K51" s="148"/>
      <c r="L51" s="147"/>
      <c r="M51" s="802"/>
      <c r="N51" s="804"/>
      <c r="O51" s="831"/>
      <c r="P51" s="806"/>
      <c r="Q51" s="147"/>
      <c r="R51" s="802"/>
      <c r="S51" s="804"/>
      <c r="T51" s="831"/>
      <c r="U51" s="806"/>
      <c r="V51" s="155"/>
      <c r="W51" s="154"/>
      <c r="X51" s="802"/>
      <c r="Y51" s="804"/>
      <c r="Z51" s="831"/>
      <c r="AA51" s="806"/>
      <c r="AB51" s="346"/>
      <c r="AC51" s="180"/>
      <c r="AD51" s="191"/>
      <c r="AE51" s="202"/>
      <c r="AF51" s="202"/>
      <c r="AG51" s="202"/>
      <c r="AH51" s="202"/>
      <c r="AI51" s="85"/>
      <c r="AJ51" s="85"/>
      <c r="AK51" s="85"/>
      <c r="AL51" s="85"/>
      <c r="AM51" s="85"/>
      <c r="AN51" s="85"/>
      <c r="AO51" s="85"/>
      <c r="AP51" s="89"/>
      <c r="AQ51" s="89"/>
      <c r="AR51" s="89"/>
      <c r="AS51" s="89"/>
    </row>
    <row r="52" spans="1:45" ht="13.2" hidden="1" customHeight="1" x14ac:dyDescent="0.25">
      <c r="A52" s="38"/>
      <c r="B52" s="78" t="s">
        <v>235</v>
      </c>
      <c r="C52" s="79"/>
      <c r="D52" s="840"/>
      <c r="E52" s="77"/>
      <c r="F52" s="800"/>
      <c r="G52" s="183" t="s">
        <v>235</v>
      </c>
      <c r="H52" s="79"/>
      <c r="I52" s="831"/>
      <c r="J52" s="77"/>
      <c r="K52" s="152"/>
      <c r="L52" s="147"/>
      <c r="M52" s="183" t="s">
        <v>235</v>
      </c>
      <c r="N52" s="79"/>
      <c r="O52" s="831"/>
      <c r="P52" s="77"/>
      <c r="Q52" s="152"/>
      <c r="R52" s="183" t="s">
        <v>235</v>
      </c>
      <c r="S52" s="79"/>
      <c r="T52" s="831"/>
      <c r="U52" s="77"/>
      <c r="V52" s="148"/>
      <c r="W52" s="152"/>
      <c r="X52" s="183" t="s">
        <v>235</v>
      </c>
      <c r="Y52" s="79"/>
      <c r="Z52" s="831"/>
      <c r="AA52" s="77"/>
      <c r="AB52" s="259"/>
      <c r="AC52" s="180"/>
      <c r="AD52" s="192" t="s">
        <v>155</v>
      </c>
      <c r="AE52" s="201" t="s">
        <v>155</v>
      </c>
      <c r="AF52" s="201" t="s">
        <v>155</v>
      </c>
      <c r="AG52" s="201" t="s">
        <v>155</v>
      </c>
      <c r="AH52" s="201" t="s">
        <v>155</v>
      </c>
      <c r="AI52" s="85"/>
      <c r="AJ52" s="85"/>
      <c r="AK52" s="85"/>
      <c r="AL52" s="85"/>
      <c r="AM52" s="85"/>
      <c r="AN52" s="85"/>
      <c r="AO52" s="85"/>
      <c r="AP52" s="89"/>
      <c r="AQ52" s="89"/>
      <c r="AR52" s="89"/>
      <c r="AS52" s="89"/>
    </row>
    <row r="53" spans="1:45" ht="7.95" hidden="1" customHeight="1" x14ac:dyDescent="0.25">
      <c r="A53" s="38"/>
      <c r="B53" s="801" t="str">
        <f>IF($C9='Lists and Arrays'!$B6,'Lists and Arrays'!$F34,IF($C9='Lists and Arrays'!$B7,'Lists and Arrays'!$F35,IF($C9='Lists and Arrays'!$B8,'Lists and Arrays'!$F36,IF($C9='Lists and Arrays'!$B9,'Lists and Arrays'!$F37,IF($C9='Lists and Arrays'!$B10,'Lists and Arrays'!$F38,"Select an Ecoregion")))))</f>
        <v>Select an Ecoregion</v>
      </c>
      <c r="C53" s="803" t="s">
        <v>62</v>
      </c>
      <c r="D53" s="840"/>
      <c r="E53" s="805"/>
      <c r="F53" s="800"/>
      <c r="G53" s="801" t="str">
        <f>IF($H9='Lists and Arrays'!$B6,'Lists and Arrays'!$H34,IF($H9='Lists and Arrays'!$B7,'Lists and Arrays'!$H35,IF($H9='Lists and Arrays'!$B8,'Lists and Arrays'!$H36,IF($H9='Lists and Arrays'!$B9,'Lists and Arrays'!$H37,IF($H9='Lists and Arrays'!$B10,'Lists and Arrays'!$H38,"Select an Ecoregion")))))</f>
        <v>Select an Ecoregion</v>
      </c>
      <c r="H53" s="803" t="s">
        <v>62</v>
      </c>
      <c r="I53" s="831"/>
      <c r="J53" s="805"/>
      <c r="K53" s="148"/>
      <c r="L53" s="147"/>
      <c r="M53" s="801" t="str">
        <f>IF($H9='Lists and Arrays'!$B6,'Lists and Arrays'!$J34,IF($H9='Lists and Arrays'!$B7,'Lists and Arrays'!$J35,IF($H9='Lists and Arrays'!$B8,'Lists and Arrays'!$J36,IF($H9='Lists and Arrays'!$B9,'Lists and Arrays'!$J37,IF($H9='Lists and Arrays'!$B10,'Lists and Arrays'!$J38,"Select an Ecoregion")))))</f>
        <v>Select an Ecoregion</v>
      </c>
      <c r="N53" s="803" t="s">
        <v>62</v>
      </c>
      <c r="O53" s="831"/>
      <c r="P53" s="805"/>
      <c r="Q53" s="147"/>
      <c r="R53" s="801" t="str">
        <f>IF($H9='Lists and Arrays'!$B6,'Lists and Arrays'!$L34,IF($H9='Lists and Arrays'!$B7,'Lists and Arrays'!$L35,IF($H9='Lists and Arrays'!$B8,'Lists and Arrays'!$L36,IF($H9='Lists and Arrays'!$B9,'Lists and Arrays'!$L37,IF($H9='Lists and Arrays'!$B10,'Lists and Arrays'!$L38,"Select an Ecoregion")))))</f>
        <v>Select an Ecoregion</v>
      </c>
      <c r="S53" s="803" t="s">
        <v>62</v>
      </c>
      <c r="T53" s="831"/>
      <c r="U53" s="805"/>
      <c r="V53" s="153"/>
      <c r="W53" s="154"/>
      <c r="X53" s="801" t="str">
        <f>IF($H9='Lists and Arrays'!$B6,'Lists and Arrays'!$N34,IF($H9='Lists and Arrays'!$B7,'Lists and Arrays'!$N35,IF($H9='Lists and Arrays'!$B8,'Lists and Arrays'!$N36,IF($H9='Lists and Arrays'!$B9,'Lists and Arrays'!$N37,IF($H9='Lists and Arrays'!$B10,'Lists and Arrays'!$N38,"Select an Ecoregion")))))</f>
        <v>Select an Ecoregion</v>
      </c>
      <c r="Y53" s="803" t="s">
        <v>62</v>
      </c>
      <c r="Z53" s="831"/>
      <c r="AA53" s="805"/>
      <c r="AB53" s="345"/>
      <c r="AC53" s="180"/>
      <c r="AD53" s="191" t="str">
        <f>IF($C9='Lists and Arrays'!$B6,'Lists and Arrays'!$G34,IF($C9='Lists and Arrays'!$B7,'Lists and Arrays'!$G35,IF($C9='Lists and Arrays'!$B8,'Lists and Arrays'!$G36,IF($C9='Lists and Arrays'!$B9,'Lists and Arrays'!$G37,IF($C9='Lists and Arrays'!$B10,'Lists and Arrays'!$G38,"Select an Ecoregion")))))</f>
        <v>Select an Ecoregion</v>
      </c>
      <c r="AE53" s="202" t="str">
        <f>IF($H9='Lists and Arrays'!$B6,'Lists and Arrays'!$I34,IF($H9='Lists and Arrays'!$B7,'Lists and Arrays'!$I35,IF($H9='Lists and Arrays'!$B8,'Lists and Arrays'!$I36,IF($H9='Lists and Arrays'!$B9,'Lists and Arrays'!$I37,IF($H9='Lists and Arrays'!$B10,'Lists and Arrays'!$I38,"Select an Ecoregion")))))</f>
        <v>Select an Ecoregion</v>
      </c>
      <c r="AF53" s="202" t="str">
        <f>IF($H9='Lists and Arrays'!$B6,'Lists and Arrays'!$K34,IF($H9='Lists and Arrays'!$B7,'Lists and Arrays'!$K35,IF($H9='Lists and Arrays'!$B8,'Lists and Arrays'!$K36,IF($H9='Lists and Arrays'!$B9,'Lists and Arrays'!$K37,IF($H9='Lists and Arrays'!$B10,'Lists and Arrays'!$K38,"Select an Ecoregion")))))</f>
        <v>Select an Ecoregion</v>
      </c>
      <c r="AG53" s="202" t="str">
        <f>IF($H9='Lists and Arrays'!$B6,'Lists and Arrays'!$M34,IF($H9='Lists and Arrays'!$B7,'Lists and Arrays'!$M35,IF($H9='Lists and Arrays'!$B8,'Lists and Arrays'!$M36,IF($H9='Lists and Arrays'!$B9,'Lists and Arrays'!$M37,IF($H9='Lists and Arrays'!$B10,'Lists and Arrays'!$M38,"Select an Ecoregion")))))</f>
        <v>Select an Ecoregion</v>
      </c>
      <c r="AH53" s="202" t="str">
        <f>IF($H9='Lists and Arrays'!$B6,'Lists and Arrays'!$O34,IF($H9='Lists and Arrays'!$B7,'Lists and Arrays'!$O35,IF($H9='Lists and Arrays'!$B8,'Lists and Arrays'!$O36,IF($H9='Lists and Arrays'!$B9,'Lists and Arrays'!$O37,IF($H9='Lists and Arrays'!$B10,'Lists and Arrays'!$O38,"Select an Ecoregion")))))</f>
        <v>Select an Ecoregion</v>
      </c>
      <c r="AI53" s="85"/>
      <c r="AJ53" s="85"/>
      <c r="AK53" s="85"/>
      <c r="AL53" s="85"/>
      <c r="AM53" s="85"/>
      <c r="AN53" s="85"/>
      <c r="AO53" s="85"/>
      <c r="AP53" s="89"/>
      <c r="AQ53" s="89"/>
      <c r="AR53" s="89"/>
      <c r="AS53" s="89"/>
    </row>
    <row r="54" spans="1:45" ht="7.95" hidden="1" customHeight="1" x14ac:dyDescent="0.25">
      <c r="A54" s="38"/>
      <c r="B54" s="802"/>
      <c r="C54" s="804"/>
      <c r="D54" s="840"/>
      <c r="E54" s="806"/>
      <c r="F54" s="800"/>
      <c r="G54" s="802"/>
      <c r="H54" s="804"/>
      <c r="I54" s="831"/>
      <c r="J54" s="806"/>
      <c r="K54" s="148"/>
      <c r="L54" s="144"/>
      <c r="M54" s="802"/>
      <c r="N54" s="804"/>
      <c r="O54" s="831"/>
      <c r="P54" s="806"/>
      <c r="Q54" s="144"/>
      <c r="R54" s="802"/>
      <c r="S54" s="804"/>
      <c r="T54" s="831"/>
      <c r="U54" s="806"/>
      <c r="V54" s="156"/>
      <c r="W54" s="157"/>
      <c r="X54" s="802"/>
      <c r="Y54" s="804"/>
      <c r="Z54" s="831"/>
      <c r="AA54" s="806"/>
      <c r="AB54" s="347"/>
      <c r="AC54" s="180"/>
      <c r="AD54" s="191"/>
      <c r="AE54" s="202"/>
      <c r="AF54" s="202"/>
      <c r="AG54" s="202"/>
      <c r="AH54" s="202"/>
      <c r="AI54" s="85"/>
      <c r="AJ54" s="85"/>
      <c r="AK54" s="85"/>
      <c r="AL54" s="85"/>
      <c r="AM54" s="85"/>
      <c r="AN54" s="85"/>
      <c r="AO54" s="85"/>
      <c r="AP54" s="89"/>
      <c r="AQ54" s="89"/>
      <c r="AR54" s="89"/>
      <c r="AS54" s="89"/>
    </row>
    <row r="55" spans="1:45" ht="12.75" hidden="1" customHeight="1" x14ac:dyDescent="0.25">
      <c r="A55" s="38"/>
      <c r="B55" s="78" t="s">
        <v>236</v>
      </c>
      <c r="C55" s="79"/>
      <c r="D55" s="840"/>
      <c r="E55" s="77"/>
      <c r="F55" s="800"/>
      <c r="G55" s="183" t="s">
        <v>236</v>
      </c>
      <c r="H55" s="79"/>
      <c r="I55" s="831"/>
      <c r="J55" s="77"/>
      <c r="K55" s="152"/>
      <c r="L55" s="147"/>
      <c r="M55" s="183" t="s">
        <v>236</v>
      </c>
      <c r="N55" s="79"/>
      <c r="O55" s="831"/>
      <c r="P55" s="77"/>
      <c r="Q55" s="152"/>
      <c r="R55" s="183" t="s">
        <v>236</v>
      </c>
      <c r="S55" s="79"/>
      <c r="T55" s="831"/>
      <c r="U55" s="77"/>
      <c r="V55" s="148"/>
      <c r="W55" s="152"/>
      <c r="X55" s="183" t="s">
        <v>236</v>
      </c>
      <c r="Y55" s="79"/>
      <c r="Z55" s="831"/>
      <c r="AA55" s="77"/>
      <c r="AB55" s="259"/>
      <c r="AC55" s="180"/>
      <c r="AD55" s="192" t="s">
        <v>156</v>
      </c>
      <c r="AE55" s="201" t="s">
        <v>156</v>
      </c>
      <c r="AF55" s="201" t="s">
        <v>156</v>
      </c>
      <c r="AG55" s="201" t="s">
        <v>156</v>
      </c>
      <c r="AH55" s="201" t="s">
        <v>156</v>
      </c>
      <c r="AI55" s="85"/>
      <c r="AJ55" s="85"/>
      <c r="AK55" s="85"/>
      <c r="AL55" s="85"/>
      <c r="AM55" s="85"/>
      <c r="AN55" s="85"/>
      <c r="AO55" s="85"/>
      <c r="AP55" s="89"/>
      <c r="AQ55" s="89"/>
      <c r="AR55" s="89"/>
      <c r="AS55" s="89"/>
    </row>
    <row r="56" spans="1:45" ht="7.95" hidden="1" customHeight="1" x14ac:dyDescent="0.25">
      <c r="A56" s="38"/>
      <c r="B56" s="801" t="str">
        <f>IF($C9='Lists and Arrays'!$B6,'Lists and Arrays'!$F41,IF($C9='Lists and Arrays'!$B7,'Lists and Arrays'!$F42,IF($C9='Lists and Arrays'!$B8,'Lists and Arrays'!$F43,IF($C9='Lists and Arrays'!$B9,'Lists and Arrays'!$F44,IF($C9='Lists and Arrays'!$B10,'Lists and Arrays'!$F45,"Select an Ecoregion")))))</f>
        <v>Select an Ecoregion</v>
      </c>
      <c r="C56" s="793" t="s">
        <v>62</v>
      </c>
      <c r="D56" s="840"/>
      <c r="E56" s="805"/>
      <c r="F56" s="800"/>
      <c r="G56" s="801" t="str">
        <f>IF($H9='Lists and Arrays'!$B6,'Lists and Arrays'!$H41,IF($H9='Lists and Arrays'!$B7,'Lists and Arrays'!$H42,IF($H9='Lists and Arrays'!$B8,'Lists and Arrays'!$H43,IF($H9='Lists and Arrays'!$B9,'Lists and Arrays'!$H44,IF($H9='Lists and Arrays'!$B10,'Lists and Arrays'!$H45,"Select an Ecoregion")))))</f>
        <v>Select an Ecoregion</v>
      </c>
      <c r="H56" s="793" t="s">
        <v>62</v>
      </c>
      <c r="I56" s="831"/>
      <c r="J56" s="805"/>
      <c r="K56" s="148"/>
      <c r="L56" s="147"/>
      <c r="M56" s="801" t="str">
        <f>IF($H9='Lists and Arrays'!$B6,'Lists and Arrays'!$J41,IF($H9='Lists and Arrays'!$B7,'Lists and Arrays'!$J42,IF($H9='Lists and Arrays'!$B8,'Lists and Arrays'!$J43,IF($H9='Lists and Arrays'!$B9,'Lists and Arrays'!$J44,IF($H9='Lists and Arrays'!$B10,'Lists and Arrays'!$J45,"Select an Ecoregion")))))</f>
        <v>Select an Ecoregion</v>
      </c>
      <c r="N56" s="793" t="s">
        <v>62</v>
      </c>
      <c r="O56" s="831"/>
      <c r="P56" s="805"/>
      <c r="Q56" s="148"/>
      <c r="R56" s="801" t="str">
        <f>IF($H9='Lists and Arrays'!$B6,'Lists and Arrays'!$L41,IF($H9='Lists and Arrays'!$B7,'Lists and Arrays'!$L42,IF($H9='Lists and Arrays'!$B8,'Lists and Arrays'!$L43,IF($H9='Lists and Arrays'!$B9,'Lists and Arrays'!$L44,IF($H9='Lists and Arrays'!$B10,'Lists and Arrays'!$L45,"Select an Ecoregion")))))</f>
        <v>Select an Ecoregion</v>
      </c>
      <c r="S56" s="793" t="s">
        <v>62</v>
      </c>
      <c r="T56" s="831"/>
      <c r="U56" s="805"/>
      <c r="V56" s="153"/>
      <c r="W56" s="156"/>
      <c r="X56" s="801" t="str">
        <f>IF($H9='Lists and Arrays'!$B6,'Lists and Arrays'!$N41,IF($H9='Lists and Arrays'!$B7,'Lists and Arrays'!$N42,IF($H9='Lists and Arrays'!$B8,'Lists and Arrays'!$N43,IF($H9='Lists and Arrays'!$B9,'Lists and Arrays'!$N44,IF($H9='Lists and Arrays'!$B10,'Lists and Arrays'!$N45,"Select an Ecoregion")))))</f>
        <v>Select an Ecoregion</v>
      </c>
      <c r="Y56" s="793" t="s">
        <v>62</v>
      </c>
      <c r="Z56" s="831"/>
      <c r="AA56" s="805"/>
      <c r="AB56" s="345"/>
      <c r="AC56" s="180"/>
      <c r="AD56" s="191" t="str">
        <f>IF($C9='Lists and Arrays'!$B6,'Lists and Arrays'!$G41,IF($C9='Lists and Arrays'!$B7,'Lists and Arrays'!$G42,IF($C9='Lists and Arrays'!$B8,'Lists and Arrays'!$G43,IF($C9='Lists and Arrays'!$B9,'Lists and Arrays'!$G44,IF($C9='Lists and Arrays'!$B10,'Lists and Arrays'!$G45,"Select an Ecoregion")))))</f>
        <v>Select an Ecoregion</v>
      </c>
      <c r="AE56" s="202" t="str">
        <f>IF($H9='Lists and Arrays'!$B6,'Lists and Arrays'!$I41,IF($H9='Lists and Arrays'!$B7,'Lists and Arrays'!$I42,IF($H9='Lists and Arrays'!$B8,'Lists and Arrays'!$I43,IF($H9='Lists and Arrays'!$B9,'Lists and Arrays'!$I44,IF($H9='Lists and Arrays'!$B10,'Lists and Arrays'!$I45,"Select an Ecoregion")))))</f>
        <v>Select an Ecoregion</v>
      </c>
      <c r="AF56" s="202" t="str">
        <f>IF($H9='Lists and Arrays'!$B6,'Lists and Arrays'!$K41,IF($H9='Lists and Arrays'!$B7,'Lists and Arrays'!$K42,IF($H9='Lists and Arrays'!$B8,'Lists and Arrays'!$K43,IF($H9='Lists and Arrays'!$B9,'Lists and Arrays'!$K44,IF($H9='Lists and Arrays'!$B10,'Lists and Arrays'!$K45,"Select an Ecoregion")))))</f>
        <v>Select an Ecoregion</v>
      </c>
      <c r="AG56" s="202" t="str">
        <f>IF($H9='Lists and Arrays'!$B6,'Lists and Arrays'!$M41,IF($H9='Lists and Arrays'!$B7,'Lists and Arrays'!$M42,IF($H9='Lists and Arrays'!$B8,'Lists and Arrays'!$M43,IF($H9='Lists and Arrays'!$B9,'Lists and Arrays'!$M44,IF($H9='Lists and Arrays'!$B10,'Lists and Arrays'!$M45,"Select an Ecoregion")))))</f>
        <v>Select an Ecoregion</v>
      </c>
      <c r="AH56" s="202" t="str">
        <f>IF($H9='Lists and Arrays'!$B6,'Lists and Arrays'!$O41,IF($H9='Lists and Arrays'!$B7,'Lists and Arrays'!$O42,IF($H9='Lists and Arrays'!$B8,'Lists and Arrays'!$O43,IF($H9='Lists and Arrays'!$B9,'Lists and Arrays'!$O44,IF($H9='Lists and Arrays'!$B10,'Lists and Arrays'!$O45,"Select an Ecoregion")))))</f>
        <v>Select an Ecoregion</v>
      </c>
      <c r="AI56" s="85"/>
      <c r="AJ56" s="85"/>
      <c r="AK56" s="85"/>
      <c r="AL56" s="85"/>
      <c r="AM56" s="85"/>
      <c r="AN56" s="85"/>
      <c r="AO56" s="85"/>
      <c r="AP56" s="89"/>
      <c r="AQ56" s="89"/>
      <c r="AR56" s="89"/>
      <c r="AS56" s="89"/>
    </row>
    <row r="57" spans="1:45" ht="7.95" hidden="1" customHeight="1" x14ac:dyDescent="0.25">
      <c r="A57" s="38"/>
      <c r="B57" s="802"/>
      <c r="C57" s="794"/>
      <c r="D57" s="850"/>
      <c r="E57" s="806"/>
      <c r="F57" s="800"/>
      <c r="G57" s="802"/>
      <c r="H57" s="794"/>
      <c r="I57" s="832"/>
      <c r="J57" s="806"/>
      <c r="K57" s="148"/>
      <c r="L57" s="147"/>
      <c r="M57" s="802"/>
      <c r="N57" s="794"/>
      <c r="O57" s="832"/>
      <c r="P57" s="806"/>
      <c r="Q57" s="148"/>
      <c r="R57" s="802"/>
      <c r="S57" s="794"/>
      <c r="T57" s="832"/>
      <c r="U57" s="806"/>
      <c r="V57" s="156"/>
      <c r="W57" s="156"/>
      <c r="X57" s="802"/>
      <c r="Y57" s="794"/>
      <c r="Z57" s="832"/>
      <c r="AA57" s="806"/>
      <c r="AB57" s="347"/>
      <c r="AC57" s="180"/>
      <c r="AD57" s="193">
        <f>IF(AND(AD39="",AD42="",AD45=""),"",IF(C7="Ephemeral","N/A",IF(AD36=FALSE, ROUND((AD39+AD42+AD45)/200,3), IF(OR(AD39="",AD42="",AD45="",AD39="Check Data",AD42="Check Data",AD45="Check Data"),"Check Data",ROUND((AD39+AD42+AD45)/200,3)))))</f>
        <v>0.8</v>
      </c>
      <c r="AE57" s="203">
        <f>IF(AND(AE39="",AE42="",AE45=""),"",IF(AND($H7="Ephemeral",$AE36=FALSE),ROUND((AE39+AE42+AE45)/200,3),IF(OR(AE39="",AE42="",AE45="",AE39="Check Data",AE42="Check Data",AE45="Check Data"),"Check Data",ROUND((AE39+AE42+AE45)/200,3))))</f>
        <v>0.5</v>
      </c>
      <c r="AF57" s="203">
        <f>IF(AND(AF39="",AF42="",AF45=""),"",IF(AND($H7="Ephemeral",$AE36=FALSE),ROUND((AF39+AF42+AF45)/200,3),IF(OR(AF39="",AF42="",AF45="",AF39="Check Data",AF42="Check Data",AF45="Check Data"),"Check Data",ROUND((AF39+AF42+AF45)/200,3))))</f>
        <v>0.625</v>
      </c>
      <c r="AG57" s="203">
        <f>IF(AND(AG39="",AG42="",AG45=""),"",IF(AND($H7="Ephemeral",$AE36=FALSE),ROUND((AG39+AG42+AG45)/200,3),IF(OR(AG39="",AG42="",AG45="",AG39="Check Data",AG42="Check Data",AG45="Check Data"),"Check Data",ROUND((AG39+AG42+AG45)/200,3))))</f>
        <v>1</v>
      </c>
      <c r="AH57" s="203">
        <f>IF(AND(AH39="",AH42="",AH45=""),"",IF(AND($H7="Ephemeral",$AE36=FALSE),ROUND((AH39+AH42+AH45)/200,3),IF(OR(AH39="",AH42="",AH45="",AH39="Check Data",AH42="Check Data",AH45="Check Data"),"Check Data",ROUND((AH39+AH42+AH45)/200,3))))</f>
        <v>1</v>
      </c>
      <c r="AI57" s="85"/>
      <c r="AJ57" s="85"/>
      <c r="AK57" s="85"/>
      <c r="AL57" s="85"/>
      <c r="AM57" s="85"/>
      <c r="AN57" s="85"/>
      <c r="AO57" s="85"/>
      <c r="AP57" s="89"/>
      <c r="AQ57" s="89"/>
      <c r="AR57" s="89"/>
      <c r="AS57" s="89"/>
    </row>
    <row r="58" spans="1:45" ht="16.2" hidden="1" customHeight="1" thickBot="1" x14ac:dyDescent="0.3">
      <c r="A58" s="38"/>
      <c r="B58" s="785" t="s">
        <v>329</v>
      </c>
      <c r="C58" s="786"/>
      <c r="D58" s="787"/>
      <c r="E58" s="670" t="str">
        <f>IF(OR(E50="",E53="",E56=""),"",IF(C7='Lists and Arrays'!B13,"Check Data",IF(C7="Ephemeral","N/A",IF(AND(C7&lt;&gt;"Ephemeral",$AD35=TRUE,$AD36=FALSE),"Check Data",IF($AD35=TRUE,$AD58,"N/A")))))</f>
        <v/>
      </c>
      <c r="F58" s="800"/>
      <c r="G58" s="785" t="s">
        <v>329</v>
      </c>
      <c r="H58" s="1020"/>
      <c r="I58" s="1021"/>
      <c r="J58" s="670" t="str">
        <f>IF($H7='Lists and Arrays'!B13,"Check Data",IF($H7="Ephemeral","N/A",IF(AND($H7&lt;&gt;"Ephemeral",$AE35=TRUE,$AE36=FALSE),"Check Data",IF($AE35=TRUE,$AE58,"N/A"))))</f>
        <v>N/A</v>
      </c>
      <c r="K58" s="147"/>
      <c r="L58" s="146"/>
      <c r="M58" s="785" t="s">
        <v>329</v>
      </c>
      <c r="N58" s="990"/>
      <c r="O58" s="991"/>
      <c r="P58" s="286" t="str">
        <f>IF($H7='Lists and Arrays'!B13,"Check Data",IF($H7="Ephemeral","N/A",IF(AND($H7&lt;&gt;"Ephemeral",$AE35=TRUE,$AE36=FALSE),"Check Data",IF($AE35=TRUE,$AF58,"N/A"))))</f>
        <v>N/A</v>
      </c>
      <c r="Q58" s="147"/>
      <c r="R58" s="785" t="s">
        <v>329</v>
      </c>
      <c r="S58" s="1020"/>
      <c r="T58" s="1021"/>
      <c r="U58" s="286" t="str">
        <f>IF($H7='Lists and Arrays'!B13,"Check Data",IF($H7="Ephemeral","N/A",IF(AND($H7&lt;&gt;"Ephemeral",$AE35=TRUE,$AE36=FALSE),"Check Data",IF($AE35=TRUE,$AG58,"N/A"))))</f>
        <v>N/A</v>
      </c>
      <c r="V58" s="148"/>
      <c r="W58" s="147"/>
      <c r="X58" s="785" t="s">
        <v>329</v>
      </c>
      <c r="Y58" s="990"/>
      <c r="Z58" s="991"/>
      <c r="AA58" s="286" t="str">
        <f>IF($H7='Lists and Arrays'!B13,"Check Data",IF($H7="Ephemeral","N/A",IF(AND($H7&lt;&gt;"Ephemeral",$AE35=TRUE,$AE36=FALSE),"Check Data",IF($AE35=TRUE,$AH58,"N/A"))))</f>
        <v>N/A</v>
      </c>
      <c r="AB58" s="259"/>
      <c r="AC58" s="180"/>
      <c r="AD58" s="185" t="e">
        <f>IF(AND(AD50="",AD53="",AD56=""),"",IF(OR(AD50="",AD53="",AD56="",AD50="Check Data",AD53="Check Data",AD56="Check Data"),"Check Data",IF((AD50+AD53+AD56)=0,0.1,IF((AD50+AD53+AD56)&gt;0, 0.1+0.00375*(AD50+AD53+AD56)))))</f>
        <v>#VALUE!</v>
      </c>
      <c r="AE58" s="197" t="e">
        <f>IF(AND(AE50="",AE53="",AE56=""),"",IF(OR(AE50="",AE53="",AE56="",AE50="Check Data",AE53="Check Data",AE56="Check Data"),"Check Data",IF((AE50+AE53+AE56)=0,0.1,IF((AE50+AE53+AE56)&gt;0, 0.1+0.00375*(AE50+AE53+AE56)))))</f>
        <v>#VALUE!</v>
      </c>
      <c r="AF58" s="197" t="e">
        <f>IF(AND(AF50="",AF53="",AF56=""),"",IF(OR(AF50="",AF53="",AF56="",AF50="Check Data",AF53="Check Data",AF56="Check Data"),"Check Data",IF((AF50+AF53+AF56)=0,0.1,IF((AF50+AF53+AF56)&gt;0, 0.1+0.00375*(AF50+AF53+AF56)))))</f>
        <v>#VALUE!</v>
      </c>
      <c r="AG58" s="197" t="e">
        <f>IF(AND(AG50="",AG53="",AG56=""),"",IF(OR(AG50="",AG53="",AG56="",AG50="Check Data",AG53="Check Data",AG56="Check Data"),"Check Data",IF((AG50+AG53+AG56)=0,0.1,IF((AG50+AG53+AG56)&gt;0, 0.1+0.00375*(AG50+AG53+AG56)))))</f>
        <v>#VALUE!</v>
      </c>
      <c r="AH58" s="197" t="e">
        <f>IF(AND(AH50="",AH53="",AH56=""),"",IF(OR(AH50="",AH53="",AH56="",AH50="Check Data",AH53="Check Data",AH56="Check Data"),"Check Data",IF((AH50+AH53+AH56)=0,0.1,IF((AH50+AH53+AH56)&gt;0, 0.1+0.00375*(AH50+AH53+AH56)))))</f>
        <v>#VALUE!</v>
      </c>
      <c r="AI58" s="85"/>
      <c r="AJ58" s="85"/>
      <c r="AK58" s="85"/>
      <c r="AL58" s="85"/>
      <c r="AM58" s="85"/>
      <c r="AN58" s="85"/>
      <c r="AO58" s="85"/>
      <c r="AP58" s="89"/>
      <c r="AQ58" s="89"/>
      <c r="AR58" s="89"/>
      <c r="AS58" s="89"/>
    </row>
    <row r="59" spans="1:45" ht="19.2" customHeight="1" thickBot="1" x14ac:dyDescent="0.3">
      <c r="A59" s="38"/>
      <c r="B59" s="119" t="s">
        <v>326</v>
      </c>
      <c r="C59" s="812" t="str">
        <f>IF(C7='Lists and Arrays'!B13,"Stream Class",IF(C7="Ephemeral","",IF(AND(C7&lt;&gt;"Ephemeral",$AD35=TRUE,$AD36=FALSE),"",IF($AD35=FALSE,"","BWQ x AWQ"))))</f>
        <v/>
      </c>
      <c r="D59" s="813"/>
      <c r="E59" s="671">
        <f>IF(C7="Ephemeral","N/A",IF(C7='Lists and Arrays'!B13,"",IF(AND(C7&lt;&gt;"Ephemeral",$AD35=TRUE,$AD36=FALSE),"Check Data",IF(AND($AD35=FALSE,E47=""),"",IF(AND($AD35=TRUE,OR(E47="",E58="")),"",IF($AD35=FALSE,$AD57,$AD58*$AD57))))))</f>
        <v>0.8</v>
      </c>
      <c r="F59" s="800"/>
      <c r="G59" s="119" t="s">
        <v>326</v>
      </c>
      <c r="H59" s="1018" t="str">
        <f>IF(H7='Lists and Arrays'!B13,"Stream Class",IF(G4="Establishment","Set to 0",IF($H7="Ephemeral","",IF(AND($H7&lt;&gt;"Ephemeral",$AE35=TRUE,$AE36=FALSE),"",IF($AE35=FALSE,"","BWQ x AWQ")))))</f>
        <v/>
      </c>
      <c r="I59" s="1019"/>
      <c r="J59" s="672">
        <f>IF($H7='Lists and Arrays'!G13,"",IF($H7="Ephemeral","N/A",IF(G4="Establishment",0,IF(OR(J47="Check Data",J58="Check Data"),"",IF(AND($H7&lt;&gt;"Ephemeral",$AE35=TRUE,$AE36=FALSE),"Check Data",IF(AND($AE35=FALSE,J47=""),"",IF(AND($AE35=TRUE,OR(J47="",J58="")),"",IF($AE35=FALSE,$AE57,$AE58*$AE57))))))))</f>
        <v>0.5</v>
      </c>
      <c r="K59" s="147"/>
      <c r="L59" s="146"/>
      <c r="M59" s="119" t="s">
        <v>326</v>
      </c>
      <c r="N59" s="812" t="str">
        <f>IF(H7='Lists and Arrays'!B13,"Stream Class",IF($H7="Ephemeral","",IF(AND($H7&lt;&gt;"Ephemeral",$AE35=TRUE,$AE36=FALSE),"",IF($AE35=FALSE,"","BWQ x AWQ"))))</f>
        <v/>
      </c>
      <c r="O59" s="813"/>
      <c r="P59" s="118">
        <f>IF($H7='Lists and Arrays'!B13,"",IF($H7="Ephemeral","N/A",IF(OR(P47="Check Data",P58="Check Data"),"",IF(AND($H7&lt;&gt;"Ephemeral",$AE35=TRUE,$AE36=FALSE),"Check Data",IF(AND($AE35=FALSE,P47=""),"",IF(AND($AE35=TRUE,OR(P47="",P58="")),"",IF($AE35=FALSE,$AF57,$AF58*$AF57)))))))</f>
        <v>0.625</v>
      </c>
      <c r="Q59" s="147"/>
      <c r="R59" s="119" t="s">
        <v>326</v>
      </c>
      <c r="S59" s="1018" t="str">
        <f>IF(H7='Lists and Arrays'!B13,"Stream Class",IF($H7="Ephemeral","",IF(AND($H7&lt;&gt;"Ephemeral",$AE35=TRUE,$AE36=FALSE),"",IF($AE35=FALSE,"","BWQ x AWQ"))))</f>
        <v/>
      </c>
      <c r="T59" s="1019"/>
      <c r="U59" s="118">
        <f>IF($H7='Lists and Arrays'!B13,"",IF($H7="Ephemeral","N/A",IF(OR(U47="Check Data",U58="Check Data"),"",IF(AND($H7&lt;&gt;"Ephemeral",$AE35=TRUE,$AE36=FALSE),"Check Data",IF(AND($AE35=FALSE,U47=""),"",IF(AND($AE35=TRUE,OR(U47="",U58="")),"",IF($AE35=FALSE,$AG57,$AG58*$AG57)))))))</f>
        <v>1</v>
      </c>
      <c r="V59" s="148"/>
      <c r="W59" s="147"/>
      <c r="X59" s="119" t="s">
        <v>326</v>
      </c>
      <c r="Y59" s="812" t="str">
        <f>IF(H7='Lists and Arrays'!B13,"Stream Class",IF($H7="Ephemeral","",IF(AND($H7&lt;&gt;"Ephemeral",$AE35=TRUE,$AE36=FALSE),"",IF($AE35=FALSE,"","BWQ x AWQ"))))</f>
        <v/>
      </c>
      <c r="Z59" s="813"/>
      <c r="AA59" s="118">
        <f>IF($H7='Lists and Arrays'!B13,"",IF($H7="Ephemeral","N/A",IF(OR(AA47="Check Data",AA58="Check Data"),"",IF(AND($H7&lt;&gt;"Ephemeral",$AE35=TRUE,$AE36=FALSE),"Check Data",IF(AND($AE35=FALSE,AA47=""),"",IF(AND($AE35=TRUE,OR(AA47="",AA58="")),"",IF($AE35=FALSE,$AH57,$AH58*$AH57)))))))</f>
        <v>1</v>
      </c>
      <c r="AB59" s="259"/>
      <c r="AC59" s="180"/>
      <c r="AD59" s="185"/>
      <c r="AE59" s="197"/>
      <c r="AF59" s="197"/>
      <c r="AG59" s="197"/>
      <c r="AH59" s="197"/>
      <c r="AI59" s="85"/>
      <c r="AJ59" s="85"/>
      <c r="AK59" s="85"/>
      <c r="AL59" s="85"/>
      <c r="AM59" s="85"/>
      <c r="AN59" s="85"/>
      <c r="AO59" s="85"/>
      <c r="AP59" s="89"/>
      <c r="AQ59" s="89"/>
      <c r="AR59" s="89"/>
      <c r="AS59" s="89"/>
    </row>
    <row r="60" spans="1:45" ht="46.2" customHeight="1" thickTop="1" x14ac:dyDescent="0.25">
      <c r="A60" s="38"/>
      <c r="B60" s="808" t="s">
        <v>467</v>
      </c>
      <c r="C60" s="809"/>
      <c r="D60" s="809"/>
      <c r="E60" s="810"/>
      <c r="F60" s="342"/>
      <c r="G60" s="808" t="s">
        <v>468</v>
      </c>
      <c r="H60" s="809"/>
      <c r="I60" s="809"/>
      <c r="J60" s="810"/>
      <c r="K60" s="158"/>
      <c r="L60" s="132"/>
      <c r="M60" s="1003" t="s">
        <v>423</v>
      </c>
      <c r="N60" s="809"/>
      <c r="O60" s="809"/>
      <c r="P60" s="810"/>
      <c r="Q60" s="132"/>
      <c r="R60" s="1003" t="s">
        <v>424</v>
      </c>
      <c r="S60" s="809"/>
      <c r="T60" s="809"/>
      <c r="U60" s="810"/>
      <c r="V60" s="147"/>
      <c r="W60" s="132"/>
      <c r="X60" s="1003" t="s">
        <v>425</v>
      </c>
      <c r="Y60" s="809"/>
      <c r="Z60" s="809"/>
      <c r="AA60" s="810"/>
      <c r="AB60" s="342"/>
      <c r="AC60" s="180"/>
      <c r="AD60" s="185"/>
      <c r="AE60" s="195"/>
      <c r="AF60" s="195"/>
      <c r="AG60" s="195"/>
      <c r="AH60" s="195"/>
      <c r="AI60" s="85"/>
      <c r="AJ60" s="85"/>
      <c r="AK60" s="85"/>
      <c r="AL60" s="85"/>
      <c r="AM60" s="85"/>
      <c r="AN60" s="85"/>
      <c r="AO60" s="85"/>
      <c r="AP60" s="89"/>
      <c r="AQ60" s="89"/>
      <c r="AR60" s="89"/>
      <c r="AS60" s="89"/>
    </row>
    <row r="61" spans="1:45" s="38" customFormat="1" ht="24.6" customHeight="1" x14ac:dyDescent="0.25">
      <c r="B61" s="415" t="s">
        <v>418</v>
      </c>
      <c r="C61" s="416"/>
      <c r="D61" s="416"/>
      <c r="E61" s="417"/>
      <c r="F61" s="342"/>
      <c r="G61" s="415" t="s">
        <v>418</v>
      </c>
      <c r="H61" s="416"/>
      <c r="I61" s="416"/>
      <c r="J61" s="417"/>
      <c r="K61" s="342"/>
      <c r="L61" s="146"/>
      <c r="M61" s="415" t="s">
        <v>418</v>
      </c>
      <c r="N61" s="416"/>
      <c r="O61" s="416"/>
      <c r="P61" s="417"/>
      <c r="Q61" s="146"/>
      <c r="R61" s="415" t="s">
        <v>418</v>
      </c>
      <c r="S61" s="416"/>
      <c r="T61" s="416"/>
      <c r="U61" s="417"/>
      <c r="V61" s="342"/>
      <c r="W61" s="146"/>
      <c r="X61" s="415" t="s">
        <v>418</v>
      </c>
      <c r="Y61" s="416"/>
      <c r="Z61" s="416"/>
      <c r="AA61" s="417"/>
      <c r="AB61" s="342"/>
      <c r="AC61" s="174"/>
      <c r="AD61" s="418"/>
      <c r="AE61" s="419"/>
      <c r="AF61" s="419"/>
      <c r="AG61" s="419"/>
      <c r="AH61" s="419"/>
      <c r="AI61" s="99"/>
      <c r="AJ61" s="99"/>
      <c r="AK61" s="99"/>
      <c r="AL61" s="99"/>
      <c r="AM61" s="99"/>
      <c r="AN61" s="99"/>
      <c r="AO61" s="99"/>
    </row>
    <row r="62" spans="1:45" s="38" customFormat="1" ht="16.95" customHeight="1" x14ac:dyDescent="0.25">
      <c r="B62" s="788" t="str">
        <f>IF(E62="","Enter WVSCI Score","WVSCI Score")</f>
        <v>WVSCI Score</v>
      </c>
      <c r="C62" s="793" t="s">
        <v>419</v>
      </c>
      <c r="D62" s="793" t="s">
        <v>20</v>
      </c>
      <c r="E62" s="805">
        <v>76</v>
      </c>
      <c r="F62" s="807"/>
      <c r="G62" s="788" t="str">
        <f>IF(J62="","Enter WVSCI Score","WVSCI Score")</f>
        <v>Enter WVSCI Score</v>
      </c>
      <c r="H62" s="793" t="s">
        <v>419</v>
      </c>
      <c r="I62" s="793" t="s">
        <v>20</v>
      </c>
      <c r="J62" s="783"/>
      <c r="K62" s="1002"/>
      <c r="L62" s="811"/>
      <c r="M62" s="788" t="str">
        <f>IF(P62="","Enter WVSCI Score","WVSCI Score")</f>
        <v>Enter WVSCI Score</v>
      </c>
      <c r="N62" s="793" t="s">
        <v>419</v>
      </c>
      <c r="O62" s="793" t="s">
        <v>20</v>
      </c>
      <c r="P62" s="783"/>
      <c r="Q62" s="1022"/>
      <c r="R62" s="788" t="str">
        <f>IF(U62="","Enter WVSCI Score","WVSCI Score")</f>
        <v>Enter WVSCI Score</v>
      </c>
      <c r="S62" s="793" t="s">
        <v>419</v>
      </c>
      <c r="T62" s="793" t="s">
        <v>20</v>
      </c>
      <c r="U62" s="783"/>
      <c r="V62" s="342"/>
      <c r="W62" s="146"/>
      <c r="X62" s="788" t="str">
        <f>IF(AA62="","Enter WVSCI Score","WVSCI Score")</f>
        <v>Enter WVSCI Score</v>
      </c>
      <c r="Y62" s="793" t="s">
        <v>419</v>
      </c>
      <c r="Z62" s="793" t="s">
        <v>20</v>
      </c>
      <c r="AA62" s="783"/>
      <c r="AB62" s="342"/>
      <c r="AC62" s="174"/>
      <c r="AD62" s="418"/>
      <c r="AE62" s="419"/>
      <c r="AF62" s="419"/>
      <c r="AG62" s="419"/>
      <c r="AH62" s="419"/>
      <c r="AI62" s="99"/>
      <c r="AJ62" s="99"/>
      <c r="AK62" s="99"/>
      <c r="AL62" s="99"/>
      <c r="AM62" s="99"/>
      <c r="AN62" s="99"/>
      <c r="AO62" s="99"/>
    </row>
    <row r="63" spans="1:45" s="38" customFormat="1" ht="16.95" customHeight="1" x14ac:dyDescent="0.25">
      <c r="B63" s="789"/>
      <c r="C63" s="794"/>
      <c r="D63" s="794"/>
      <c r="E63" s="806"/>
      <c r="F63" s="807"/>
      <c r="G63" s="789"/>
      <c r="H63" s="794"/>
      <c r="I63" s="794"/>
      <c r="J63" s="784"/>
      <c r="K63" s="1002"/>
      <c r="L63" s="811"/>
      <c r="M63" s="789"/>
      <c r="N63" s="794"/>
      <c r="O63" s="794"/>
      <c r="P63" s="784"/>
      <c r="Q63" s="1022"/>
      <c r="R63" s="789"/>
      <c r="S63" s="794"/>
      <c r="T63" s="794"/>
      <c r="U63" s="784"/>
      <c r="V63" s="342"/>
      <c r="W63" s="146"/>
      <c r="X63" s="789"/>
      <c r="Y63" s="794"/>
      <c r="Z63" s="794"/>
      <c r="AA63" s="784"/>
      <c r="AB63" s="342"/>
      <c r="AC63" s="174"/>
      <c r="AD63" s="418"/>
      <c r="AE63" s="419"/>
      <c r="AF63" s="419"/>
      <c r="AG63" s="419"/>
      <c r="AH63" s="419"/>
      <c r="AI63" s="99"/>
      <c r="AJ63" s="99"/>
      <c r="AK63" s="99"/>
      <c r="AL63" s="99"/>
      <c r="AM63" s="99"/>
      <c r="AN63" s="99"/>
      <c r="AO63" s="99"/>
    </row>
    <row r="64" spans="1:45" s="38" customFormat="1" ht="24.6" hidden="1" customHeight="1" x14ac:dyDescent="0.25">
      <c r="B64" s="513" t="s">
        <v>463</v>
      </c>
      <c r="C64" s="816" t="str">
        <f>IF(C7='Lists and Arrays'!B13,"Stream Class","")</f>
        <v/>
      </c>
      <c r="D64" s="817"/>
      <c r="E64" s="514">
        <f>IF(C7='Lists and Arrays'!$B$13,"",IF(C7="Ephemeral","N/A",IF($AD$66=FALSE,"N/A",IF($AD$65=TRUE, "N/A",IF(E62="","",IF(AND(E62&lt;=100,E62&gt;=0),E62/100,"Check Data"))))))</f>
        <v>0.76</v>
      </c>
      <c r="F64" s="807"/>
      <c r="G64" s="513" t="s">
        <v>463</v>
      </c>
      <c r="H64" s="816" t="str">
        <f>IF(H7='Lists and Arrays'!$B$13,"Stream Class","")</f>
        <v/>
      </c>
      <c r="I64" s="817"/>
      <c r="J64" s="514" t="str">
        <f>IF(H7='Lists and Arrays'!$B$13,"",IF(H7="Ephemeral","N/A",IF($AE$65=TRUE, "N/A",IF($G4="Establishment",0,IF(J62="","",IF(AND(J62&lt;=100,J62&gt;=0),J62/100,"Check Data"))))))</f>
        <v/>
      </c>
      <c r="K64" s="1002"/>
      <c r="L64" s="811"/>
      <c r="M64" s="513" t="s">
        <v>463</v>
      </c>
      <c r="N64" s="816" t="str">
        <f>IF(N7='Lists and Arrays'!$B$13,"Stream Class","")</f>
        <v/>
      </c>
      <c r="O64" s="817"/>
      <c r="P64" s="514" t="str">
        <f>IF(N7='Lists and Arrays'!$B$13,"",IF(N7="Ephemeral","N/A",IF($AE$65=TRUE, "N/A",IF(P62="","",IF(AND(P62&lt;=100,P62&gt;=0),P62/100,"Check Data")))))</f>
        <v/>
      </c>
      <c r="Q64" s="1022"/>
      <c r="R64" s="513" t="s">
        <v>463</v>
      </c>
      <c r="S64" s="816" t="str">
        <f>IF(S7='Lists and Arrays'!$B$13,"Stream Class","")</f>
        <v/>
      </c>
      <c r="T64" s="817"/>
      <c r="U64" s="514" t="str">
        <f>IF(S7='Lists and Arrays'!$B$13,"",IF(S7="Ephemeral","N/A",IF($AE$65=TRUE, "N/A",IF(U62="","",IF(AND(U62&lt;=100,U62&gt;=0),U62/100,"Check Data")))))</f>
        <v/>
      </c>
      <c r="V64" s="342"/>
      <c r="W64" s="146"/>
      <c r="X64" s="513" t="s">
        <v>463</v>
      </c>
      <c r="Y64" s="816" t="str">
        <f>IF(Y7='Lists and Arrays'!$B$13,"Stream Class","")</f>
        <v/>
      </c>
      <c r="Z64" s="817"/>
      <c r="AA64" s="514" t="str">
        <f>IF(Y7='Lists and Arrays'!$B$13,"",IF(Y7="Ephemeral","N/A",IF($AE$65=TRUE, "N/A",IF(AA62="","",IF(AND(AA62&lt;=100,AA62&gt;=0),AA62/100,"Check Data")))))</f>
        <v/>
      </c>
      <c r="AB64" s="342"/>
      <c r="AC64" s="174"/>
      <c r="AD64" s="418"/>
      <c r="AE64" s="419"/>
      <c r="AF64" s="419"/>
      <c r="AG64" s="419"/>
      <c r="AH64" s="419"/>
      <c r="AI64" s="99"/>
      <c r="AJ64" s="99"/>
      <c r="AK64" s="99"/>
      <c r="AL64" s="99"/>
      <c r="AM64" s="99"/>
      <c r="AN64" s="99"/>
      <c r="AO64" s="99"/>
    </row>
    <row r="65" spans="1:41" ht="31.2" hidden="1" customHeight="1" x14ac:dyDescent="0.25">
      <c r="A65" s="106"/>
      <c r="B65" s="987" t="s">
        <v>437</v>
      </c>
      <c r="C65" s="988"/>
      <c r="D65" s="988"/>
      <c r="E65" s="989"/>
      <c r="F65" s="1004"/>
      <c r="G65" s="1005" t="s">
        <v>437</v>
      </c>
      <c r="H65" s="1006"/>
      <c r="I65" s="1006"/>
      <c r="J65" s="1007"/>
      <c r="K65" s="148"/>
      <c r="L65" s="811"/>
      <c r="M65" s="1005" t="s">
        <v>437</v>
      </c>
      <c r="N65" s="1006"/>
      <c r="O65" s="1006"/>
      <c r="P65" s="1007"/>
      <c r="Q65" s="1022"/>
      <c r="R65" s="1005" t="s">
        <v>437</v>
      </c>
      <c r="S65" s="1006"/>
      <c r="T65" s="1006"/>
      <c r="U65" s="1007"/>
      <c r="V65" s="155"/>
      <c r="W65" s="155"/>
      <c r="X65" s="1005" t="s">
        <v>437</v>
      </c>
      <c r="Y65" s="1006"/>
      <c r="Z65" s="1006"/>
      <c r="AA65" s="1007"/>
      <c r="AB65" s="346"/>
      <c r="AC65" s="180" t="s">
        <v>465</v>
      </c>
      <c r="AD65" s="187" t="b">
        <v>0</v>
      </c>
      <c r="AE65" s="198" t="b">
        <v>0</v>
      </c>
      <c r="AF65" s="195"/>
      <c r="AG65" s="195"/>
      <c r="AH65" s="195"/>
    </row>
    <row r="66" spans="1:41" ht="22.95" hidden="1" customHeight="1" x14ac:dyDescent="0.25">
      <c r="A66" s="38"/>
      <c r="B66" s="824" t="s">
        <v>434</v>
      </c>
      <c r="C66" s="825"/>
      <c r="D66" s="515" t="s">
        <v>439</v>
      </c>
      <c r="E66" s="427">
        <v>75</v>
      </c>
      <c r="F66" s="1004"/>
      <c r="G66" s="824" t="s">
        <v>431</v>
      </c>
      <c r="H66" s="825"/>
      <c r="I66" s="515" t="s">
        <v>439</v>
      </c>
      <c r="J66" s="427">
        <v>45</v>
      </c>
      <c r="K66" s="148"/>
      <c r="L66" s="811"/>
      <c r="M66" s="818" t="str">
        <f>$G66</f>
        <v>GLIMPSS Summer Mountains &lt;60 sq. mi.</v>
      </c>
      <c r="N66" s="819"/>
      <c r="O66" s="515" t="s">
        <v>439</v>
      </c>
      <c r="P66" s="427">
        <v>50</v>
      </c>
      <c r="Q66" s="1022"/>
      <c r="R66" s="818" t="str">
        <f>$G66</f>
        <v>GLIMPSS Summer Mountains &lt;60 sq. mi.</v>
      </c>
      <c r="S66" s="819"/>
      <c r="T66" s="515" t="s">
        <v>439</v>
      </c>
      <c r="U66" s="427">
        <v>55</v>
      </c>
      <c r="V66" s="155"/>
      <c r="W66" s="155"/>
      <c r="X66" s="818" t="str">
        <f>$G66</f>
        <v>GLIMPSS Summer Mountains &lt;60 sq. mi.</v>
      </c>
      <c r="Y66" s="819"/>
      <c r="Z66" s="515" t="s">
        <v>439</v>
      </c>
      <c r="AA66" s="427">
        <v>60</v>
      </c>
      <c r="AB66" s="346"/>
      <c r="AC66" s="180" t="s">
        <v>464</v>
      </c>
      <c r="AD66" s="187" t="b">
        <v>1</v>
      </c>
      <c r="AE66" s="195"/>
      <c r="AF66" s="195"/>
      <c r="AG66" s="195"/>
      <c r="AH66" s="195"/>
    </row>
    <row r="67" spans="1:41" ht="22.95" hidden="1" customHeight="1" x14ac:dyDescent="0.25">
      <c r="A67" s="38"/>
      <c r="B67" s="826"/>
      <c r="C67" s="827"/>
      <c r="D67" s="426" t="s">
        <v>438</v>
      </c>
      <c r="E67" s="518" t="str">
        <f>IF(C7='Lists and Arrays'!$B$14,"N/A",IF($AD65=FALSE,"N/A",IF(B66='Lists and Arrays'!$C88,"",VLOOKUP(B66,'Lists and Arrays'!$C$89:$D$95,2, FALSE))))</f>
        <v>N/A</v>
      </c>
      <c r="F67" s="1004"/>
      <c r="G67" s="826"/>
      <c r="H67" s="827"/>
      <c r="I67" s="426" t="s">
        <v>438</v>
      </c>
      <c r="J67" s="518" t="str">
        <f>IF(H7='Lists and Arrays'!$B$14,"N/A",IF($AE65=FALSE,"N/A",IF(G66='Lists and Arrays'!$C88,"",VLOOKUP(G66,'Lists and Arrays'!$C$89:$D$95,2, FALSE))))</f>
        <v>N/A</v>
      </c>
      <c r="K67" s="148"/>
      <c r="L67" s="811"/>
      <c r="M67" s="820"/>
      <c r="N67" s="821"/>
      <c r="O67" s="426" t="s">
        <v>438</v>
      </c>
      <c r="P67" s="518" t="str">
        <f>IF(N7='Lists and Arrays'!$B$14,"N/A",IF($AE65=FALSE,"N/A",IF(M66='Lists and Arrays'!$C88,"",VLOOKUP(M66,'Lists and Arrays'!$C$89:$D$95,2, FALSE))))</f>
        <v>N/A</v>
      </c>
      <c r="Q67" s="1022"/>
      <c r="R67" s="820"/>
      <c r="S67" s="821"/>
      <c r="T67" s="426" t="s">
        <v>438</v>
      </c>
      <c r="U67" s="518" t="str">
        <f>IF(S7='Lists and Arrays'!$B$14,"N/A",IF($AE65=FALSE,"N/A",IF(R66='Lists and Arrays'!$C88,"",VLOOKUP(R66,'Lists and Arrays'!$C$89:$D$95,2, FALSE))))</f>
        <v>N/A</v>
      </c>
      <c r="V67" s="155"/>
      <c r="W67" s="155"/>
      <c r="X67" s="820"/>
      <c r="Y67" s="821"/>
      <c r="Z67" s="426" t="s">
        <v>438</v>
      </c>
      <c r="AA67" s="518" t="str">
        <f>IF(Y7='Lists and Arrays'!$B$14,"N/A",IF($AE65=FALSE,"N/A",IF(X66='Lists and Arrays'!$C88,"",VLOOKUP(X66,'Lists and Arrays'!$C$89:$D$95,2, FALSE))))</f>
        <v>N/A</v>
      </c>
      <c r="AB67" s="346"/>
      <c r="AC67" s="180"/>
      <c r="AD67" s="425"/>
      <c r="AE67" s="424"/>
      <c r="AF67" s="424"/>
      <c r="AG67" s="424"/>
      <c r="AH67" s="424"/>
    </row>
    <row r="68" spans="1:41" ht="21" hidden="1" customHeight="1" x14ac:dyDescent="0.25">
      <c r="A68" s="38"/>
      <c r="B68" s="513" t="s">
        <v>466</v>
      </c>
      <c r="C68" s="822" t="str">
        <f>IF(C7='Lists and Arrays'!B13,"Stream Class","")</f>
        <v/>
      </c>
      <c r="D68" s="823"/>
      <c r="E68" s="514" t="str">
        <f>IF(C7='Lists and Arrays'!$B$13,"",IF(C7="Ephemeral","N/A",IF($AD$66=FALSE,"N/A",(IF(OR(E66="", B66='Lists and Arrays'!C88),"",IF($AD$65&lt;&gt;TRUE,"N/A",ROUND(E66/E67,3)))))))</f>
        <v>N/A</v>
      </c>
      <c r="F68" s="1004"/>
      <c r="G68" s="513" t="s">
        <v>466</v>
      </c>
      <c r="H68" s="822" t="str">
        <f>IF(H7='Lists and Arrays'!$B13,"Stream Class","")</f>
        <v/>
      </c>
      <c r="I68" s="823"/>
      <c r="J68" s="514" t="str">
        <f>IF(H7='Lists and Arrays'!$B$13,"",IF(H7="Ephemeral","N/A",IF(G4="Establishment",0,(IF(OR(J66="", G66='Lists and Arrays'!$C88),"",IF($AE$65&lt;&gt;TRUE,"N/A",ROUND(J66/J67,3)))))))</f>
        <v>N/A</v>
      </c>
      <c r="K68" s="148"/>
      <c r="L68" s="811"/>
      <c r="M68" s="513" t="s">
        <v>466</v>
      </c>
      <c r="N68" s="822" t="str">
        <f>IF(N7='Lists and Arrays'!$B13,"Stream Class","")</f>
        <v/>
      </c>
      <c r="O68" s="823"/>
      <c r="P68" s="514" t="str">
        <f>IF(N7='Lists and Arrays'!$B$13,"",IF(N7="Ephemeral","N/A",IF(M4="Establishment",0,(IF(OR(P66="", M66='Lists and Arrays'!$C88),"",IF($AE$65&lt;&gt;TRUE,"N/A",ROUND(P66/P67,3)))))))</f>
        <v>N/A</v>
      </c>
      <c r="Q68" s="1022"/>
      <c r="R68" s="513" t="s">
        <v>466</v>
      </c>
      <c r="S68" s="822" t="str">
        <f>IF(S7='Lists and Arrays'!$B13,"Stream Class","")</f>
        <v/>
      </c>
      <c r="T68" s="823"/>
      <c r="U68" s="514" t="str">
        <f>IF(S7='Lists and Arrays'!$B$13,"",IF(S7="Ephemeral","N/A",IF(R4="Establishment",0,(IF(OR(U66="", R66='Lists and Arrays'!$C88),"",IF($AE$65&lt;&gt;TRUE,"N/A",ROUND(U66/U67,3)))))))</f>
        <v>N/A</v>
      </c>
      <c r="V68" s="155"/>
      <c r="W68" s="155"/>
      <c r="X68" s="513" t="s">
        <v>466</v>
      </c>
      <c r="Y68" s="822" t="str">
        <f>IF(Y7='Lists and Arrays'!$B13,"Stream Class","")</f>
        <v/>
      </c>
      <c r="Z68" s="823"/>
      <c r="AA68" s="514" t="str">
        <f>IF(Y7='Lists and Arrays'!$B$13,"",IF(Y7="Ephemeral","N/A",IF(X4="Establishment",0,(IF(OR(AA66="", X66='Lists and Arrays'!$C88),"",IF($AE$65&lt;&gt;TRUE,"N/A",ROUND(AA66/AA67,3)))))))</f>
        <v>N/A</v>
      </c>
      <c r="AB68" s="346"/>
      <c r="AC68" s="180"/>
      <c r="AD68" s="273" t="e">
        <f>IF(#REF!=FALSE,ROUND(0.7+0.005*60,3),IF(#REF!="","",IF(AND(#REF!&gt;=20,#REF!&lt;=60),ROUND(0.7+0.005*#REF!,2),IF(AND(#REF!&gt;=7,#REF!&lt;20),ROUND(0.33846154+0.02307692*#REF!,2),IF(AND(#REF!&gt;=0,#REF!&lt;7),ROUND(0.07142857*#REF!,2),"Check Data")))))</f>
        <v>#REF!</v>
      </c>
      <c r="AE68" s="197" t="str">
        <f>IF($J67="","",IF(AND($J67&gt;=20,$J67&lt;=60),ROUND(0.7+0.005*$J67,2),IF(AND($J67&gt;=7,$J67&lt;20),ROUND(0.33846154+0.02307692*$J67,2),IF(AND($J67&gt;=0,$J67&lt;7),ROUND(0.07142857*$J67,2),"Check Data"))))</f>
        <v>Check Data</v>
      </c>
      <c r="AF68" s="197" t="str">
        <f>IF($P67="","",IF(AND($P67&gt;=20,$P67&lt;=60),ROUND(0.7+0.005*$P67,2),IF(AND($P67&gt;=7,$P67&lt;20),ROUND(0.33846154+0.02307692*$P67,2),IF(AND($P67&gt;=0,$P67&lt;7),ROUND(0.07142857*$P67,2),"Check Data"))))</f>
        <v>Check Data</v>
      </c>
      <c r="AG68" s="197" t="str">
        <f>IF($U67="","",IF(AND($U67&gt;=20,$U67&lt;=60),ROUND(0.7+0.005*$U67,2),IF(AND($U67&gt;=7,$U67&lt;20),ROUND(0.33846154+0.02307692*$U67,2),IF(AND($U67&gt;=0,$U67&lt;7),ROUND(0.07142857*$U67,2),"Check Data"))))</f>
        <v>Check Data</v>
      </c>
      <c r="AH68" s="197" t="str">
        <f>IF($AA67="","",IF(AND($AA67&gt;=20,$AA67&lt;=60),ROUND(0.7+0.005*$AA67,2),IF(AND($AA67&gt;=7,$AA67&lt;20),ROUND(0.33846154+0.02307692*$AA67,2),IF(AND($AA67&gt;=0,$AA67&lt;7),ROUND(0.07142857*$AA67,2),"Check Data"))))</f>
        <v>Check Data</v>
      </c>
    </row>
    <row r="69" spans="1:41" ht="22.95" customHeight="1" thickBot="1" x14ac:dyDescent="0.3">
      <c r="A69" s="38"/>
      <c r="B69" s="516" t="s">
        <v>426</v>
      </c>
      <c r="C69" s="814" t="str">
        <f>IF(C7='Lists and Arrays'!B13,"Stream Class","")</f>
        <v/>
      </c>
      <c r="D69" s="815"/>
      <c r="E69" s="517">
        <f>IF(C7='Lists and Arrays'!$B$13,"",IF(C7='Lists and Arrays'!$B$14,"N/A",IF($AD$66=FALSE,0.84,IF($AD$65=TRUE,$E68,IF($AD$65&lt;&gt;TRUE,E64,"Check Data")))))</f>
        <v>0.76</v>
      </c>
      <c r="F69" s="164" t="s">
        <v>27</v>
      </c>
      <c r="G69" s="516" t="s">
        <v>426</v>
      </c>
      <c r="H69" s="814" t="str">
        <f>IF(H7='Lists and Arrays'!$B13,"Stream Class","")</f>
        <v/>
      </c>
      <c r="I69" s="815"/>
      <c r="J69" s="517" t="str">
        <f>IF(H7='Lists and Arrays'!$B$13,"",IF(H7='Lists and Arrays'!$B$14,"N/A",IF(G4="Establishment",0,IF($AE$65=TRUE,J68,IF($AE$65&lt;&gt;TRUE,J64,"Check Data")))))</f>
        <v/>
      </c>
      <c r="K69" s="159"/>
      <c r="L69" s="811"/>
      <c r="M69" s="516" t="s">
        <v>426</v>
      </c>
      <c r="N69" s="814" t="str">
        <f>IF(N7='Lists and Arrays'!$B13,"Stream Class","")</f>
        <v/>
      </c>
      <c r="O69" s="815"/>
      <c r="P69" s="517" t="str">
        <f>IF(N7='Lists and Arrays'!$B$13,"",IF(N7='Lists and Arrays'!$B$14,"N/A",IF(M4="Establishment",0,IF($AE$65=TRUE,P68,IF($AE$65&lt;&gt;TRUE,P64,"Check Data")))))</f>
        <v/>
      </c>
      <c r="Q69" s="159"/>
      <c r="R69" s="516" t="s">
        <v>426</v>
      </c>
      <c r="S69" s="814" t="str">
        <f>IF(S7='Lists and Arrays'!$B13,"Stream Class","")</f>
        <v/>
      </c>
      <c r="T69" s="815"/>
      <c r="U69" s="517" t="str">
        <f>IF(S7='Lists and Arrays'!$B$13,"",IF(S7='Lists and Arrays'!$B$14,"N/A",IF(R4="Establishment",0,IF($AE$65=TRUE,U68,IF($AE$65&lt;&gt;TRUE,U64,"Check Data")))))</f>
        <v/>
      </c>
      <c r="V69" s="132"/>
      <c r="W69" s="159"/>
      <c r="X69" s="516" t="s">
        <v>426</v>
      </c>
      <c r="Y69" s="814" t="str">
        <f>IF(Y7='Lists and Arrays'!$B13,"Stream Class","")</f>
        <v/>
      </c>
      <c r="Z69" s="815"/>
      <c r="AA69" s="517" t="str">
        <f>IF(Y7='Lists and Arrays'!$B$13,"",IF(Y7='Lists and Arrays'!$B$14,"N/A",IF(X4="Establishment",0,IF($AE$65=TRUE,AA68,IF($AE$65&lt;&gt;TRUE,AA64,"Check Data")))))</f>
        <v/>
      </c>
      <c r="AB69" s="164"/>
      <c r="AC69" s="180"/>
      <c r="AD69" s="274" t="s">
        <v>166</v>
      </c>
      <c r="AE69" s="215" t="s">
        <v>166</v>
      </c>
      <c r="AF69" s="215" t="s">
        <v>166</v>
      </c>
      <c r="AG69" s="215" t="s">
        <v>166</v>
      </c>
      <c r="AH69" s="215" t="s">
        <v>166</v>
      </c>
    </row>
    <row r="70" spans="1:41" s="38" customFormat="1" ht="7.95" customHeight="1" thickTop="1" thickBot="1" x14ac:dyDescent="0.3">
      <c r="A70" s="100"/>
      <c r="B70" s="30"/>
      <c r="C70" s="30"/>
      <c r="D70" s="30"/>
      <c r="E70" s="30"/>
      <c r="F70" s="146"/>
      <c r="G70" s="160"/>
      <c r="H70" s="160"/>
      <c r="I70" s="160"/>
      <c r="J70" s="161"/>
      <c r="K70" s="162"/>
      <c r="L70" s="162"/>
      <c r="M70" s="160"/>
      <c r="N70" s="163"/>
      <c r="O70" s="163"/>
      <c r="P70" s="163"/>
      <c r="Q70" s="146"/>
      <c r="R70" s="160"/>
      <c r="S70" s="163"/>
      <c r="T70" s="163"/>
      <c r="U70" s="163"/>
      <c r="V70" s="164"/>
      <c r="W70" s="146"/>
      <c r="X70" s="160"/>
      <c r="Y70" s="163"/>
      <c r="Z70" s="163"/>
      <c r="AA70" s="163"/>
      <c r="AB70" s="164"/>
      <c r="AC70" s="174"/>
      <c r="AD70" s="350" t="e">
        <f>IF(#REF!="","Enter ICI Quantitative Sampling score (0-60).",IF($C9='Lists and Arrays'!$B5,"Select an Ecoregion",IF(AND(#REF!&gt;=45,#REF!&lt;=60),"Exceptional",IF(AND(#REF!&gt;=41,#REF!&lt;45),"Very Good",IF(OR(AND($C9='Lists and Arrays'!$B6,#REF!&lt;41,#REF!&gt;=33),AND($C9='Lists and Arrays'!$B7,#REF!&lt;41,#REF!&gt;=29),AND($C9='Lists and Arrays'!$B8,#REF!&lt;41,#REF!&gt;=33), AND($C9='Lists and Arrays'!$B9,#REF!&lt;41,#REF!&gt;=35), AND($C9='Lists and Arrays'!$B10,#REF!&lt;41,#REF!&gt;=35)),"Good",IF(OR(AND($C9='Lists and Arrays'!$B6,#REF!&lt;33,#REF!&gt;=29),AND($C9='Lists and Arrays'!$B7,#REF!&lt;29,#REF!&gt;=25),AND($C9='Lists and Arrays'!$B8,#REF!&lt;33,#REF!&gt;=29), AND($C9='Lists and Arrays'!$B9,#REF!&lt;35,#REF!&gt;=31), AND($C9='Lists and Arrays'!$B10,#REF!&lt;35,#REF!&gt;=31)),"Marginally Good",IF(OR(AND($C9='Lists and Arrays'!$B6,#REF!&lt;29,#REF!&gt;=21),AND($C9='Lists and Arrays'!$B7,#REF!&lt;25,#REF!&gt;=21),AND($C9='Lists and Arrays'!$B8,#REF!&lt;29,#REF!&gt;=21), AND($C9='Lists and Arrays'!$B9,#REF!&lt;31,#REF!&gt;=21), AND($C9='Lists and Arrays'!$B10,#REF!&lt;31,#REF!&gt;=21)),"Fair",IF(AND(#REF!&lt;21,#REF!&gt;=13),"Low Fair",IF(AND(#REF!&lt;13,#REF!&gt;=7),"Poor",IF(AND(#REF!&lt;7,#REF!&gt;=0),"Very Poor","Check Data"))))))))))</f>
        <v>#REF!</v>
      </c>
      <c r="AE70" s="197" t="str">
        <f>IF($J67="","Enter ICI Quantitative Sampling score (0-60).",IF($H9='Lists and Arrays'!$B5,"Select an Ecoregion",IF(AND($J67&gt;=45,$J67&lt;=60),"Exceptional",IF(AND($J67&gt;=41,$J67&lt;45),"Very Good",IF(OR(AND($H9='Lists and Arrays'!$B6,$J67&lt;41,$J67&gt;=33),AND($H9='Lists and Arrays'!$B7,$J67&lt;41,$J67&gt;=29),AND($H9='Lists and Arrays'!$B8,$J67&lt;41,$J67&gt;=33), AND($H9='Lists and Arrays'!$B9,$J67&lt;41,$J67&gt;=35), AND($H9='Lists and Arrays'!$B10,$J67&lt;41,$J67&gt;=35)),"Good",IF(OR(AND($H9='Lists and Arrays'!$B6,$J67&lt;33,$J67&gt;=29),AND($H9='Lists and Arrays'!$B7,$J67&lt;29,$J67&gt;=25),AND($H9='Lists and Arrays'!$B8,$J67&lt;33,$J67&gt;=29), AND($H9='Lists and Arrays'!$B9,$J67&lt;35,$J67&gt;=31), AND($H9='Lists and Arrays'!$B10,$J67&lt;35,$J67&gt;=31)),"Marginally Good",IF(OR(AND($H9='Lists and Arrays'!$B6,$J67&lt;29,$J67&gt;=21),AND($H9='Lists and Arrays'!$B7,$J67&lt;25,$J67&gt;=21),AND($H9='Lists and Arrays'!$B8,$J67&lt;29,$J67&gt;=21), AND($H9='Lists and Arrays'!$B9,$J67&lt;31,$J67&gt;=21), AND($H9='Lists and Arrays'!$B10,$J67&lt;31,$J67&gt;=21)),"Fair",IF(AND($J67&lt;21,$J67&gt;=13),"Low Fair",IF(AND($J67&lt;13,$J67&gt;=7),"Poor",IF(AND($J67&lt;7,$J67&gt;=0),"Very Poor","Check Data"))))))))))</f>
        <v>Select an Ecoregion</v>
      </c>
      <c r="AF70" s="197" t="str">
        <f>IF($P67="","Enter ICI Quantitative Sampling score (0-60).",IF($H9='Lists and Arrays'!$B5,"Select an Ecoregion",IF(AND($P67&gt;=45,$P67&lt;=60),"Exceptional",IF(AND($P67&gt;=41,$P67&lt;45),"Very Good",IF(OR(AND($H9='Lists and Arrays'!$B6,$P67&lt;41,$P67&gt;=33),AND($H9='Lists and Arrays'!$B7,$P67&lt;41,$P67&gt;=29),AND($H9='Lists and Arrays'!$B8,$P67&lt;41,$P67&gt;=33), AND($H9='Lists and Arrays'!$B9,$P67&lt;41,$P67&gt;=35), AND($H9='Lists and Arrays'!$B10,$P67&lt;41,$P67&gt;=35)),"Good",IF(OR(AND($H9='Lists and Arrays'!$B6,$P67&lt;33,$P67&gt;=29),AND($H9='Lists and Arrays'!$B7,$P67&lt;29,$P67&gt;=25),AND($H9='Lists and Arrays'!$B8,$P67&lt;33,$P67&gt;=29), AND($H9='Lists and Arrays'!$B9,$P67&lt;35,$P67&gt;=31), AND($H9='Lists and Arrays'!$B10,$P67&lt;35,$P67&gt;=31)),"Marginally Good",IF(OR(AND($H9='Lists and Arrays'!$B6,$P67&lt;29,$P67&gt;=21),AND($H9='Lists and Arrays'!$B7,$P67&lt;25,$P67&gt;=21),AND($H9='Lists and Arrays'!$B8,$P67&lt;29,$P67&gt;=21), AND($H9='Lists and Arrays'!$B9,$P67&lt;31,$P67&gt;=21), AND($H9='Lists and Arrays'!$B10,$P67&lt;31,$P67&gt;=21)),"Fair",IF(AND($P67&lt;21,$P67&gt;=13),"Low Fair",IF(AND($P67&lt;13,$P67&gt;=7),"Poor",IF(AND($P67&lt;7,$P67&gt;=0),"Very Poor","Check Data"))))))))))</f>
        <v>Select an Ecoregion</v>
      </c>
      <c r="AG70" s="197" t="str">
        <f>IF($U67="","Enter ICI Quantitative Sampling score (0-60).",IF($H9='Lists and Arrays'!$B5,"Select an Ecoregion",IF(AND($U67&gt;=45,$U67&lt;=60),"Exceptional",IF(AND($U67&gt;=41,$U67&lt;45),"Very Good",IF(OR(AND($H9='Lists and Arrays'!$B6,$U67&lt;41,$U67&gt;=33),AND($H9='Lists and Arrays'!$B7,$U67&lt;41,$U67&gt;=29),AND($H9='Lists and Arrays'!$B8,$U67&lt;41,$U67&gt;=33), AND($H9='Lists and Arrays'!$B9,$U67&lt;41,$U67&gt;=35), AND($H9='Lists and Arrays'!$B10,$U67&lt;41,$U67&gt;=35)),"Good",IF(OR(AND($H9='Lists and Arrays'!$B6,$U67&lt;33,$U67&gt;=29),AND($H9='Lists and Arrays'!$B7,$U67&lt;29,$U67&gt;=25),AND($H9='Lists and Arrays'!$B8,$U67&lt;33,$U67&gt;=29), AND($H9='Lists and Arrays'!$B9,$U67&lt;35,$U67&gt;=31), AND($H9='Lists and Arrays'!$B10,$U67&lt;35,$U67&gt;=31)),"Marginally Good",IF(OR(AND($H9='Lists and Arrays'!$B6,$U67&lt;29,$U67&gt;=21),AND($H9='Lists and Arrays'!$B7,$U67&lt;25,$U67&gt;=21),AND($H9='Lists and Arrays'!$B8,$U67&lt;29,$U67&gt;=21), AND($H9='Lists and Arrays'!$B9,$U67&lt;31,$U67&gt;=21), AND($H9='Lists and Arrays'!$B10,$U67&lt;31,$U67&gt;=21)),"Fair",IF(AND($U67&lt;21,$U67&gt;=13),"Low Fair",IF(AND($U67&lt;13,$U67&gt;=7),"Poor",IF(AND($U67&lt;7,$U67&gt;=0),"Very Poor","Check Data"))))))))))</f>
        <v>Select an Ecoregion</v>
      </c>
      <c r="AH70" s="197" t="str">
        <f>IF($AA67="","Enter ICI Quantitative Sampling score (0-60).",IF($H9='Lists and Arrays'!$B5,"Select an Ecoregion",IF(AND($AA67&gt;=45,$AA67&lt;=60),"Exceptional",IF(AND($AA67&gt;=41,$AA67&lt;45),"Very Good",IF(OR(AND($H9='Lists and Arrays'!$B6,$AA67&lt;41,$AA67&gt;=33),AND($H9='Lists and Arrays'!$B7,$AA67&lt;41,$AA67&gt;=29),AND($H9='Lists and Arrays'!$B8,$AA67&lt;41,$AA67&gt;=33), AND($H9='Lists and Arrays'!$B9,$AA67&lt;41,$AA67&gt;=35), AND($H9='Lists and Arrays'!$B10,$AA67&lt;41,$AA67&gt;=35)),"Good",IF(OR(AND($H9='Lists and Arrays'!$B6,$AA67&lt;33,$AA67&gt;=29),AND($H9='Lists and Arrays'!$B7,$AA67&lt;29,$AA67&gt;=25),AND($H9='Lists and Arrays'!$B8,$AA67&lt;33,$AA67&gt;=29), AND($H9='Lists and Arrays'!$B9,$AA67&lt;35,$AA67&gt;=31), AND($H9='Lists and Arrays'!$B10,$AA67&lt;35,$AA67&gt;=31)),"Marginally Good",IF(OR(AND($H9='Lists and Arrays'!$B6,$AA67&lt;29,$AA67&gt;=21),AND($H9='Lists and Arrays'!$B7,$AA67&lt;25,$AA67&gt;=21),AND($H9='Lists and Arrays'!$B8,$AA67&lt;29,$AA67&gt;=21), AND($H9='Lists and Arrays'!$B9,$AA67&lt;31,$AA67&gt;=21), AND($H9='Lists and Arrays'!$B10,$AA67&lt;31,$AA67&gt;=21)),"Fair",IF(AND($AA67&lt;21,$AA67&gt;=13),"Low Fair",IF(AND($AA67&lt;13,$AA67&gt;=7),"Poor",IF(AND($AA67&lt;7,$AA67&gt;=0),"Very Poor","Check Data"))))))))))</f>
        <v>Select an Ecoregion</v>
      </c>
      <c r="AI70" s="99"/>
      <c r="AJ70" s="99"/>
      <c r="AK70" s="99"/>
      <c r="AL70" s="99"/>
      <c r="AM70" s="99"/>
      <c r="AN70" s="99"/>
      <c r="AO70" s="99"/>
    </row>
    <row r="71" spans="1:41" ht="18.600000000000001" customHeight="1" thickTop="1" x14ac:dyDescent="0.25">
      <c r="A71" s="38"/>
      <c r="B71" s="1008" t="s">
        <v>46</v>
      </c>
      <c r="C71" s="1009"/>
      <c r="D71" s="1009"/>
      <c r="E71" s="1010"/>
      <c r="F71" s="132"/>
      <c r="G71" s="1008" t="s">
        <v>46</v>
      </c>
      <c r="H71" s="1009"/>
      <c r="I71" s="1009"/>
      <c r="J71" s="1010"/>
      <c r="K71" s="165"/>
      <c r="L71" s="143"/>
      <c r="M71" s="1008" t="s">
        <v>46</v>
      </c>
      <c r="N71" s="1009"/>
      <c r="O71" s="1009"/>
      <c r="P71" s="1010"/>
      <c r="Q71" s="132"/>
      <c r="R71" s="1008" t="s">
        <v>46</v>
      </c>
      <c r="S71" s="1009"/>
      <c r="T71" s="1009"/>
      <c r="U71" s="1010"/>
      <c r="V71" s="132"/>
      <c r="W71" s="132"/>
      <c r="X71" s="1008" t="s">
        <v>46</v>
      </c>
      <c r="Y71" s="1009"/>
      <c r="Z71" s="1009"/>
      <c r="AA71" s="1010"/>
      <c r="AB71" s="164"/>
      <c r="AC71" s="180"/>
      <c r="AD71" s="185" t="e">
        <f>IF(#REF!=FALSE,1,IF(#REF!="","",IF($C9='Lists and Arrays'!$B5,"Select an Ecoregion",IF($C9='Lists and Arrays'!$B6,ROUND('Lists and Arrays'!$F48,3),IF($C9='Lists and Arrays'!$B7,ROUND('Lists and Arrays'!$F49,3),IF($C9='Lists and Arrays'!$B8,ROUND('Lists and Arrays'!$F50,3),IF($C9='Lists and Arrays'!$B9,ROUND('Lists and Arrays'!$F51,3),IF($C9='Lists and Arrays'!$B10,ROUND('Lists and Arrays'!$F52,3),"Check Data"))))))))</f>
        <v>#REF!</v>
      </c>
      <c r="AE71" s="197" t="str">
        <f>IF($J67="","",IF($H9='Lists and Arrays'!$B5,"Select an Ecoregion",IF($H9='Lists and Arrays'!$B6,ROUND('Lists and Arrays'!$H48,3),IF($H9='Lists and Arrays'!$B7,ROUND('Lists and Arrays'!$H49,3),IF($H9='Lists and Arrays'!$B8,ROUND('Lists and Arrays'!$H50,3),IF($H9='Lists and Arrays'!$B9,ROUND('Lists and Arrays'!$H51,3),IF($H9='Lists and Arrays'!$B10,ROUND('Lists and Arrays'!$H52,3),"Check Data")))))))</f>
        <v>Select an Ecoregion</v>
      </c>
      <c r="AF71" s="197" t="str">
        <f>IF($P67="","",IF($H9='Lists and Arrays'!$B5,"Select an Ecoregion",IF($H9='Lists and Arrays'!$B6,ROUND('Lists and Arrays'!$J48,3),IF($H9='Lists and Arrays'!$B7,ROUND('Lists and Arrays'!$J49,3),IF($H9='Lists and Arrays'!$B8,ROUND('Lists and Arrays'!$J50,3),IF($H9='Lists and Arrays'!$B9,ROUND('Lists and Arrays'!$J51,3),IF($H9='Lists and Arrays'!$B10,ROUND('Lists and Arrays'!$J52,3),"Check Data")))))))</f>
        <v>Select an Ecoregion</v>
      </c>
      <c r="AG71" s="197" t="str">
        <f>IF($U67="","",IF($H9='Lists and Arrays'!$B5,"Select an Ecoregion",IF($H9='Lists and Arrays'!$B6,ROUND('Lists and Arrays'!$L48,3),IF($H9='Lists and Arrays'!$B7,ROUND('Lists and Arrays'!$L49,3),IF($H9='Lists and Arrays'!$B8,ROUND('Lists and Arrays'!$L50,3),IF($H9='Lists and Arrays'!$B9,ROUND('Lists and Arrays'!$L51,3),IF($H9='Lists and Arrays'!$B10,ROUND('Lists and Arrays'!$L52,3),"Check Data")))))))</f>
        <v>Select an Ecoregion</v>
      </c>
      <c r="AH71" s="197" t="str">
        <f>IF($AA67="","",IF($H9='Lists and Arrays'!$B5,"Select an Ecoregion",IF($H9='Lists and Arrays'!$B6,ROUND('Lists and Arrays'!$N48,3),IF($H9='Lists and Arrays'!$B7,ROUND('Lists and Arrays'!$N49,3),IF($H9='Lists and Arrays'!$B8,ROUND('Lists and Arrays'!$N50,3),IF($H9='Lists and Arrays'!$B9,ROUND('Lists and Arrays'!$N51,3),IF($H9='Lists and Arrays'!$B10,ROUND('Lists and Arrays'!$N52,3),"Check Data")))))))</f>
        <v>Select an Ecoregion</v>
      </c>
    </row>
    <row r="72" spans="1:41" ht="6.6" customHeight="1" x14ac:dyDescent="0.25">
      <c r="A72" s="38"/>
      <c r="B72" s="1011"/>
      <c r="C72" s="1012"/>
      <c r="D72" s="1012"/>
      <c r="E72" s="1013"/>
      <c r="F72" s="132"/>
      <c r="G72" s="1011"/>
      <c r="H72" s="1012"/>
      <c r="I72" s="1012"/>
      <c r="J72" s="1013"/>
      <c r="K72" s="165"/>
      <c r="L72" s="132"/>
      <c r="M72" s="1011"/>
      <c r="N72" s="1012"/>
      <c r="O72" s="1012"/>
      <c r="P72" s="1013"/>
      <c r="Q72" s="132"/>
      <c r="R72" s="1011"/>
      <c r="S72" s="1012"/>
      <c r="T72" s="1012"/>
      <c r="U72" s="1013"/>
      <c r="V72" s="132"/>
      <c r="W72" s="132"/>
      <c r="X72" s="1011"/>
      <c r="Y72" s="1012"/>
      <c r="Z72" s="1012"/>
      <c r="AA72" s="1013"/>
      <c r="AB72" s="164"/>
      <c r="AC72" s="180"/>
      <c r="AD72" s="185"/>
      <c r="AE72" s="195"/>
      <c r="AF72" s="195"/>
      <c r="AG72" s="195"/>
      <c r="AH72" s="195"/>
    </row>
    <row r="73" spans="1:41" ht="15.75" customHeight="1" x14ac:dyDescent="0.25">
      <c r="A73" s="38"/>
      <c r="B73" s="1016"/>
      <c r="C73" s="1000" t="s">
        <v>271</v>
      </c>
      <c r="D73" s="984" t="s">
        <v>262</v>
      </c>
      <c r="E73" s="986" t="s">
        <v>19</v>
      </c>
      <c r="F73" s="132"/>
      <c r="G73" s="1017" t="str">
        <f>IF(AND(G4="PRESERVATION",H79&lt;0.8)," Index is too low to qualify for Preservatation.  Select another form of Mitigation.","")</f>
        <v/>
      </c>
      <c r="H73" s="1000" t="s">
        <v>271</v>
      </c>
      <c r="I73" s="984" t="s">
        <v>262</v>
      </c>
      <c r="J73" s="986" t="s">
        <v>19</v>
      </c>
      <c r="K73" s="165"/>
      <c r="L73" s="166"/>
      <c r="M73" s="1017" t="str">
        <f>IF(G73&lt;&gt;"",G73,IF(G4="PRESERVATION","Values from Baseline Assessment used for all Preservation Mitigation Projections.",""))</f>
        <v/>
      </c>
      <c r="N73" s="1000" t="s">
        <v>271</v>
      </c>
      <c r="O73" s="984" t="s">
        <v>262</v>
      </c>
      <c r="P73" s="986" t="s">
        <v>19</v>
      </c>
      <c r="Q73" s="132"/>
      <c r="R73" s="1017" t="str">
        <f>IF(G73&lt;&gt;"",G73,IF(G4="PRESERVATION","Values from Baseline Assessment used for all Preservation Mitigation Projections.",""))</f>
        <v/>
      </c>
      <c r="S73" s="1000" t="s">
        <v>271</v>
      </c>
      <c r="T73" s="984" t="s">
        <v>262</v>
      </c>
      <c r="U73" s="986" t="s">
        <v>19</v>
      </c>
      <c r="V73" s="132"/>
      <c r="W73" s="132"/>
      <c r="X73" s="1017" t="str">
        <f>IF(G73&lt;&gt;"",G73,IF(G4="PRESERVATION","Values from Baseline Assessment used for all Preservation Mitigation Projections.",""))</f>
        <v/>
      </c>
      <c r="Y73" s="1000" t="s">
        <v>271</v>
      </c>
      <c r="Z73" s="984" t="s">
        <v>262</v>
      </c>
      <c r="AA73" s="986" t="s">
        <v>19</v>
      </c>
      <c r="AB73" s="164"/>
      <c r="AC73" s="182"/>
      <c r="AD73" s="185"/>
      <c r="AE73" s="195"/>
      <c r="AF73" s="195"/>
      <c r="AG73" s="195"/>
      <c r="AH73" s="195"/>
    </row>
    <row r="74" spans="1:41" ht="12.75" customHeight="1" x14ac:dyDescent="0.25">
      <c r="A74" s="38"/>
      <c r="B74" s="1016"/>
      <c r="C74" s="1001"/>
      <c r="D74" s="985"/>
      <c r="E74" s="986"/>
      <c r="F74" s="132"/>
      <c r="G74" s="1017"/>
      <c r="H74" s="1001"/>
      <c r="I74" s="985"/>
      <c r="J74" s="986"/>
      <c r="K74" s="165"/>
      <c r="L74" s="166"/>
      <c r="M74" s="1017"/>
      <c r="N74" s="1001"/>
      <c r="O74" s="985"/>
      <c r="P74" s="986"/>
      <c r="Q74" s="132"/>
      <c r="R74" s="1017"/>
      <c r="S74" s="1001"/>
      <c r="T74" s="985"/>
      <c r="U74" s="986"/>
      <c r="V74" s="132"/>
      <c r="W74" s="132"/>
      <c r="X74" s="1017"/>
      <c r="Y74" s="1001"/>
      <c r="Z74" s="985"/>
      <c r="AA74" s="986"/>
      <c r="AB74" s="164"/>
      <c r="AC74" s="182"/>
      <c r="AD74" s="185"/>
      <c r="AE74" s="195"/>
      <c r="AF74" s="195"/>
      <c r="AG74" s="195"/>
      <c r="AH74" s="195"/>
    </row>
    <row r="75" spans="1:41" ht="27.6" hidden="1" customHeight="1" x14ac:dyDescent="0.25">
      <c r="A75" s="38"/>
      <c r="B75" s="124" t="s">
        <v>171</v>
      </c>
      <c r="C75" s="125" t="str">
        <f>E15</f>
        <v>N/A</v>
      </c>
      <c r="D75" s="120"/>
      <c r="E75" s="121"/>
      <c r="F75" s="132"/>
      <c r="G75" s="124" t="s">
        <v>171</v>
      </c>
      <c r="H75" s="125" t="str">
        <f>J15</f>
        <v>N/A</v>
      </c>
      <c r="I75" s="120"/>
      <c r="J75" s="121"/>
      <c r="K75" s="165"/>
      <c r="L75" s="166"/>
      <c r="M75" s="124" t="s">
        <v>171</v>
      </c>
      <c r="N75" s="125" t="str">
        <f>P15</f>
        <v>N/A</v>
      </c>
      <c r="O75" s="120"/>
      <c r="P75" s="121"/>
      <c r="Q75" s="132"/>
      <c r="R75" s="124" t="s">
        <v>171</v>
      </c>
      <c r="S75" s="125" t="str">
        <f>U15</f>
        <v>N/A</v>
      </c>
      <c r="T75" s="120"/>
      <c r="U75" s="121"/>
      <c r="V75" s="132"/>
      <c r="W75" s="132"/>
      <c r="X75" s="124" t="s">
        <v>171</v>
      </c>
      <c r="Y75" s="125" t="str">
        <f>AA15</f>
        <v>N/A</v>
      </c>
      <c r="Z75" s="120"/>
      <c r="AA75" s="121"/>
      <c r="AB75" s="164"/>
      <c r="AC75" s="182"/>
      <c r="AD75" s="185"/>
      <c r="AE75" s="195"/>
      <c r="AF75" s="195"/>
      <c r="AG75" s="195"/>
      <c r="AH75" s="195"/>
    </row>
    <row r="76" spans="1:41" ht="27.6" hidden="1" customHeight="1" x14ac:dyDescent="0.25">
      <c r="A76" s="38"/>
      <c r="B76" s="124" t="s">
        <v>172</v>
      </c>
      <c r="C76" s="125">
        <f>IF(E33="Check Data","Check Data",E33)</f>
        <v>0.375</v>
      </c>
      <c r="D76" s="120"/>
      <c r="E76" s="121"/>
      <c r="F76" s="132"/>
      <c r="G76" s="124" t="s">
        <v>172</v>
      </c>
      <c r="H76" s="125">
        <f>IF(J33="Check Data","Check Data",J33)</f>
        <v>0.06</v>
      </c>
      <c r="I76" s="120"/>
      <c r="J76" s="121"/>
      <c r="K76" s="165"/>
      <c r="L76" s="166"/>
      <c r="M76" s="124" t="s">
        <v>172</v>
      </c>
      <c r="N76" s="125">
        <f>IF(P33="Check Data","Check Data",P33)</f>
        <v>0.12</v>
      </c>
      <c r="O76" s="120"/>
      <c r="P76" s="121"/>
      <c r="Q76" s="132"/>
      <c r="R76" s="124" t="s">
        <v>172</v>
      </c>
      <c r="S76" s="125">
        <f>IF(U33="Check Data","Check Data",U33)</f>
        <v>0.18</v>
      </c>
      <c r="T76" s="120"/>
      <c r="U76" s="121"/>
      <c r="V76" s="132"/>
      <c r="W76" s="132"/>
      <c r="X76" s="124" t="s">
        <v>172</v>
      </c>
      <c r="Y76" s="125">
        <f>IF(AA33="Check Data","Check Data",AA33)</f>
        <v>0.24</v>
      </c>
      <c r="Z76" s="120"/>
      <c r="AA76" s="121"/>
      <c r="AB76" s="164"/>
      <c r="AC76" s="182"/>
      <c r="AD76" s="185"/>
      <c r="AE76" s="195"/>
      <c r="AF76" s="195"/>
      <c r="AG76" s="195"/>
      <c r="AH76" s="195"/>
    </row>
    <row r="77" spans="1:41" ht="27.6" hidden="1" customHeight="1" x14ac:dyDescent="0.25">
      <c r="A77" s="38"/>
      <c r="B77" s="124" t="s">
        <v>173</v>
      </c>
      <c r="C77" s="519">
        <f>E59</f>
        <v>0.8</v>
      </c>
      <c r="D77" s="120"/>
      <c r="E77" s="121"/>
      <c r="F77" s="132"/>
      <c r="G77" s="124" t="s">
        <v>173</v>
      </c>
      <c r="H77" s="125">
        <f>J59</f>
        <v>0.5</v>
      </c>
      <c r="I77" s="120"/>
      <c r="J77" s="121"/>
      <c r="K77" s="165"/>
      <c r="L77" s="166"/>
      <c r="M77" s="124" t="s">
        <v>173</v>
      </c>
      <c r="N77" s="125">
        <f>P59</f>
        <v>0.625</v>
      </c>
      <c r="O77" s="120"/>
      <c r="P77" s="121"/>
      <c r="Q77" s="132"/>
      <c r="R77" s="124" t="s">
        <v>173</v>
      </c>
      <c r="S77" s="125">
        <f>U59</f>
        <v>1</v>
      </c>
      <c r="T77" s="120"/>
      <c r="U77" s="121"/>
      <c r="V77" s="132"/>
      <c r="W77" s="132"/>
      <c r="X77" s="124" t="s">
        <v>173</v>
      </c>
      <c r="Y77" s="125">
        <f>AA59</f>
        <v>1</v>
      </c>
      <c r="Z77" s="120"/>
      <c r="AA77" s="121"/>
      <c r="AB77" s="164"/>
      <c r="AC77" s="182"/>
      <c r="AD77" s="185"/>
      <c r="AE77" s="195"/>
      <c r="AF77" s="195"/>
      <c r="AG77" s="195"/>
      <c r="AH77" s="195"/>
    </row>
    <row r="78" spans="1:41" ht="27.6" hidden="1" customHeight="1" x14ac:dyDescent="0.25">
      <c r="A78" s="38"/>
      <c r="B78" s="124" t="s">
        <v>174</v>
      </c>
      <c r="C78" s="519">
        <f>E69</f>
        <v>0.76</v>
      </c>
      <c r="D78" s="122"/>
      <c r="E78" s="123"/>
      <c r="F78" s="132"/>
      <c r="G78" s="124" t="s">
        <v>174</v>
      </c>
      <c r="H78" s="125" t="str">
        <f>J69</f>
        <v/>
      </c>
      <c r="I78" s="122"/>
      <c r="J78" s="123"/>
      <c r="K78" s="165"/>
      <c r="L78" s="166"/>
      <c r="M78" s="124" t="s">
        <v>174</v>
      </c>
      <c r="N78" s="125" t="str">
        <f>P69</f>
        <v/>
      </c>
      <c r="O78" s="122"/>
      <c r="P78" s="123"/>
      <c r="Q78" s="132"/>
      <c r="R78" s="124" t="s">
        <v>174</v>
      </c>
      <c r="S78" s="125" t="str">
        <f>U69</f>
        <v/>
      </c>
      <c r="T78" s="122"/>
      <c r="U78" s="123"/>
      <c r="V78" s="132"/>
      <c r="W78" s="132"/>
      <c r="X78" s="124" t="s">
        <v>174</v>
      </c>
      <c r="Y78" s="125" t="str">
        <f>AA69</f>
        <v/>
      </c>
      <c r="Z78" s="122"/>
      <c r="AA78" s="123"/>
      <c r="AB78" s="164"/>
      <c r="AC78" s="180"/>
      <c r="AD78" s="185"/>
      <c r="AE78" s="195"/>
      <c r="AF78" s="195"/>
      <c r="AG78" s="195"/>
      <c r="AH78" s="195"/>
    </row>
    <row r="79" spans="1:41" ht="12.75" customHeight="1" x14ac:dyDescent="0.25">
      <c r="A79" s="100"/>
      <c r="B79" s="994" t="s">
        <v>246</v>
      </c>
      <c r="C79" s="996">
        <f>IF(AND(OR(C75="",C75="N/A"),C76="",C77="",C78=""),"",IF(AND($AD$12=FALSE,C75=""),"Check Data",IF(OR(C76="",C77="",C78=""),"Check Data",IF(OR(C75="Check Data",C76="Check Data",C77="Check Data",C78="Check Data"),"Check Data",IF(AND(C7&lt;&gt;"Ephemeral",$AD$12=FALSE,'Lists and Arrays'!$A$18&lt;&gt;"No HGM"),ROUND(((C76+C77+C78)/3+C75)/2,3),IF(AND(C7="Ephemeral",$AD$12=FALSE,'Lists and Arrays'!$A$18&lt;&gt;"No HGM"),ROUND((C76+C75)/2,3),IF(AND(C7&lt;&gt;"Ephemeral",$AD$12=FALSE,'Lists and Arrays'!$A$18="No HGM"),ROUND((C76+C77+C78)/3,3),IF(AND(C7="Ephemeral",$AD$12=FALSE,'Lists and Arrays'!$A$18="No HGM"),ROUND(C76,3),"check data"))))))))</f>
        <v>0.64500000000000002</v>
      </c>
      <c r="D79" s="998">
        <f>IF(C4="","",C4)</f>
        <v>100</v>
      </c>
      <c r="E79" s="1014">
        <f>IF(OR(C79="",C79="Check Data",D79="",D79="Check Data"),"",ROUND(C79*D79,2))</f>
        <v>64.5</v>
      </c>
      <c r="F79" s="146"/>
      <c r="G79" s="994" t="s">
        <v>246</v>
      </c>
      <c r="H79" s="996" t="str">
        <f>IF(AND(OR(H75="",H75="N/A"),H76="",H77="",H78=""),"",IF(AND($AD$12=FALSE,H75=""),"Check Data",IF(OR(H76="",H77="",H78=""),"Check Data",IF(OR(H75="Check Data",H76="Check Data",H77="Check Data",H78="Check Data"),"Check Data",IF(AND(H7&lt;&gt;"Ephemeral",$AD$12=FALSE,'Lists and Arrays'!$A$20&lt;&gt;"No HGM"),ROUND(((H76+H77+H78)/3+H75)/2,3),IF(AND(H7="Ephemeral",$AD$12=FALSE,'Lists and Arrays'!$A$20&lt;&gt;"No HGM"),ROUND((H76+H75)/2,3),IF(AND(H7&lt;&gt;"Ephemeral",$AD$12=FALSE,'Lists and Arrays'!$A$20="No HGM"),ROUND((H76+H77+H78)/3,3),IF(AND(H7="Ephemeral",$AD$12=FALSE,'Lists and Arrays'!$A$20="No HGM"),ROUND(H76,3),"check data"))))))))</f>
        <v>Check Data</v>
      </c>
      <c r="I79" s="998">
        <f>IF(AD4=FALSE,"N/A",$Y4)</f>
        <v>100</v>
      </c>
      <c r="J79" s="1014" t="str">
        <f>IF(AD4=FALSE,"N/A",IF(G73&lt;&gt;"","Check Data",IF(OR(H79="",H79="Check Data",I79="",I79="Check Data"),"",ROUND(H79*I79,2))))</f>
        <v/>
      </c>
      <c r="K79" s="148"/>
      <c r="L79" s="132"/>
      <c r="M79" s="994" t="s">
        <v>246</v>
      </c>
      <c r="N79" s="996" t="str">
        <f>IF(AND(OR(N75="",N75="N/A"),N76="",N77="",N78=""),"",IF(AND($AD$12=FALSE,N75=""),"Check Data",IF(OR(N76="",N77="",N78=""),"Check Data",IF(OR(N75="Check Data",N76="Check Data",N77="Check Data",N78="Check Data"),"Check Data",IF(AND(N7&lt;&gt;"Ephemeral",$AD$12=FALSE,'Lists and Arrays'!$A$20&lt;&gt;"No HGM"),ROUND(((N76+N77+N78)/3+N75)/2,3),IF(AND(N7="Ephemeral",$AD$12=FALSE,'Lists and Arrays'!$A$20&lt;&gt;"No HGM"),ROUND((N76+N75)/2,3),IF(AND(N7&lt;&gt;"Ephemeral",$AD$12=FALSE,'Lists and Arrays'!$A$20="No HGM"),ROUND((N76+N77+N78)/3,3),IF(AND(N7="Ephemeral",$AD$12=FALSE,'Lists and Arrays'!$A$20="No HGM"),ROUND(N76,3),"check data"))))))))</f>
        <v>Check Data</v>
      </c>
      <c r="O79" s="998">
        <f>IF(AD4=FALSE,"N/A",$Y4)</f>
        <v>100</v>
      </c>
      <c r="P79" s="1014" t="str">
        <f>IF(AD4=FALSE,"N/A",IF(G4="PRESERVATION",J79,IF(OR(N79="",N79="Check Data",O79="",O79="Check Data"),"",ROUND(N79*O79,2))))</f>
        <v/>
      </c>
      <c r="Q79" s="132"/>
      <c r="R79" s="994" t="s">
        <v>246</v>
      </c>
      <c r="S79" s="996" t="str">
        <f>IF(AND(OR(S75="",S75="N/A"),S76="",S77="",S78=""),"",IF(AND($AD$12=FALSE,S75=""),"Check Data",IF(OR(S76="",S77="",S78=""),"Check Data",IF(OR(S75="Check Data",S76="Check Data",S77="Check Data",S78="Check Data"),"Check Data",IF(AND(S7&lt;&gt;"Ephemeral",$AD$12=FALSE,'Lists and Arrays'!$A$20&lt;&gt;"No HGM"),ROUND(((S76+S77+S78)/3+S75)/2,3),IF(AND(S7="Ephemeral",$AD$12=FALSE,'Lists and Arrays'!$A$20&lt;&gt;"No HGM"),ROUND((S76+S75)/2,3),IF(AND(S7&lt;&gt;"Ephemeral",$AD$12=FALSE,'Lists and Arrays'!$A$20="No HGM"),ROUND((S76+S77+S78)/3,3),IF(AND(S7="Ephemeral",$AD$12=FALSE,'Lists and Arrays'!$A$20="No HGM"),ROUND(S76,3),"check data"))))))))</f>
        <v>Check Data</v>
      </c>
      <c r="T79" s="998">
        <f>IF(AD4=FALSE,"N/A",$Y4)</f>
        <v>100</v>
      </c>
      <c r="U79" s="1014" t="str">
        <f>IF(AD4=FALSE,"N/A",IF(G4="PRESERVATION",J79,IF(OR(S79="",S79="Check Data",T79="",T79="Check Data"),"",ROUND(S79*T79,2))))</f>
        <v/>
      </c>
      <c r="V79" s="132"/>
      <c r="W79" s="132"/>
      <c r="X79" s="994" t="s">
        <v>246</v>
      </c>
      <c r="Y79" s="996" t="str">
        <f>IF(AND(OR(Y75="",Y75="N/A"),Y76="",Y77="",Y78=""),"",IF(AND($AD$12=FALSE,Y75=""),"Check Data",IF(OR(Y76="",Y77="",Y78=""),"Check Data",IF(OR(Y75="Check Data",Y76="Check Data",Y77="Check Data",Y78="Check Data"),"Check Data",IF(AND(Y7&lt;&gt;"Ephemeral",$AD$12=FALSE,'Lists and Arrays'!$A$20&lt;&gt;"No HGM"),ROUND(((Y76+Y77+Y78)/3+Y75)/2,3),IF(AND(Y7="Ephemeral",$AD$12=FALSE,'Lists and Arrays'!$A$20&lt;&gt;"No HGM"),ROUND((Y76+Y75)/2,3),IF(AND(Y7&lt;&gt;"Ephemeral",$AD$12=FALSE,'Lists and Arrays'!$A$20="No HGM"),ROUND((Y76+Y77+Y78)/3,3),IF(AND(Y7="Ephemeral",$AD$12=FALSE,'Lists and Arrays'!$A$20="No HGM"),ROUND(Y76,3),"check data"))))))))</f>
        <v>Check Data</v>
      </c>
      <c r="Z79" s="998">
        <f>IF(AD4=FALSE,"N/A",$Y4)</f>
        <v>100</v>
      </c>
      <c r="AA79" s="1014" t="str">
        <f>IF(AD4=FALSE,"N/A",IF(G4="PRESERVATION",J79,IF(OR(Y79="",Y79="Check Data",Z79="",Z79="Check Data"),"",ROUND(Y79*Z79,2))))</f>
        <v/>
      </c>
      <c r="AB79" s="164"/>
      <c r="AC79" s="180"/>
      <c r="AD79" s="185"/>
      <c r="AE79" s="195"/>
      <c r="AF79" s="195"/>
      <c r="AG79" s="195"/>
      <c r="AH79" s="195"/>
    </row>
    <row r="80" spans="1:41" ht="13.95" customHeight="1" thickBot="1" x14ac:dyDescent="0.3">
      <c r="A80" s="100"/>
      <c r="B80" s="995"/>
      <c r="C80" s="997"/>
      <c r="D80" s="999"/>
      <c r="E80" s="1015"/>
      <c r="F80" s="146"/>
      <c r="G80" s="995"/>
      <c r="H80" s="997"/>
      <c r="I80" s="999"/>
      <c r="J80" s="1015"/>
      <c r="K80" s="148"/>
      <c r="L80" s="132"/>
      <c r="M80" s="995"/>
      <c r="N80" s="997"/>
      <c r="O80" s="999"/>
      <c r="P80" s="1015"/>
      <c r="Q80" s="132"/>
      <c r="R80" s="995"/>
      <c r="S80" s="997"/>
      <c r="T80" s="999"/>
      <c r="U80" s="1015"/>
      <c r="V80" s="132"/>
      <c r="W80" s="132"/>
      <c r="X80" s="995"/>
      <c r="Y80" s="997"/>
      <c r="Z80" s="999"/>
      <c r="AA80" s="1015"/>
      <c r="AB80" s="164"/>
      <c r="AC80" s="180"/>
      <c r="AD80" s="185"/>
      <c r="AE80" s="195"/>
      <c r="AF80" s="195"/>
      <c r="AG80" s="195"/>
      <c r="AH80" s="195"/>
    </row>
    <row r="81" spans="1:30" ht="13.95" hidden="1" customHeight="1" thickTop="1" x14ac:dyDescent="0.25">
      <c r="A81" s="100"/>
      <c r="B81" s="72"/>
      <c r="C81" s="72"/>
      <c r="D81" s="73"/>
      <c r="E81" s="73"/>
      <c r="F81" s="146"/>
      <c r="G81" s="170"/>
      <c r="H81" s="171"/>
      <c r="I81" s="171"/>
      <c r="J81" s="172"/>
      <c r="K81" s="148"/>
      <c r="L81" s="132"/>
      <c r="M81" s="170"/>
      <c r="N81" s="171"/>
      <c r="O81" s="171"/>
      <c r="P81" s="172"/>
      <c r="Q81" s="132"/>
      <c r="R81" s="170"/>
      <c r="S81" s="171"/>
      <c r="T81" s="171"/>
      <c r="U81" s="172"/>
      <c r="V81" s="132"/>
      <c r="W81" s="132"/>
      <c r="X81" s="170"/>
      <c r="Y81" s="171"/>
      <c r="Z81" s="171"/>
      <c r="AA81" s="172"/>
      <c r="AB81" s="164"/>
      <c r="AC81" s="180"/>
    </row>
    <row r="82" spans="1:30" ht="12.75" hidden="1" customHeight="1" x14ac:dyDescent="0.25">
      <c r="A82" s="100"/>
      <c r="B82" s="74" t="s">
        <v>175</v>
      </c>
      <c r="C82" s="126" t="s">
        <v>245</v>
      </c>
      <c r="D82" s="73"/>
      <c r="E82" s="73"/>
      <c r="F82" s="146"/>
      <c r="G82" s="167"/>
      <c r="H82" s="168"/>
      <c r="I82" s="168"/>
      <c r="J82" s="169"/>
      <c r="K82" s="165"/>
      <c r="L82" s="166"/>
      <c r="M82" s="167"/>
      <c r="N82" s="168"/>
      <c r="O82" s="168"/>
      <c r="P82" s="169"/>
      <c r="Q82" s="132"/>
      <c r="R82" s="167"/>
      <c r="S82" s="168"/>
      <c r="T82" s="168"/>
      <c r="U82" s="169"/>
      <c r="V82" s="132"/>
      <c r="W82" s="132"/>
      <c r="X82" s="167"/>
      <c r="Y82" s="168"/>
      <c r="Z82" s="168"/>
      <c r="AA82" s="169"/>
      <c r="AB82" s="164"/>
      <c r="AC82" s="180"/>
    </row>
    <row r="83" spans="1:30" ht="13.95" hidden="1" customHeight="1" thickBot="1" x14ac:dyDescent="0.3">
      <c r="A83" s="100"/>
      <c r="B83" s="75"/>
      <c r="C83" s="75"/>
      <c r="D83" s="76"/>
      <c r="E83" s="76"/>
      <c r="F83" s="146"/>
      <c r="G83" s="170"/>
      <c r="H83" s="171"/>
      <c r="I83" s="171"/>
      <c r="J83" s="172"/>
      <c r="K83" s="148"/>
      <c r="L83" s="132"/>
      <c r="M83" s="170"/>
      <c r="N83" s="171"/>
      <c r="O83" s="171"/>
      <c r="P83" s="172"/>
      <c r="Q83" s="132"/>
      <c r="R83" s="170"/>
      <c r="S83" s="171"/>
      <c r="T83" s="171"/>
      <c r="U83" s="172"/>
      <c r="V83" s="132"/>
      <c r="W83" s="132"/>
      <c r="X83" s="170"/>
      <c r="Y83" s="171"/>
      <c r="Z83" s="171"/>
      <c r="AA83" s="172"/>
      <c r="AB83" s="164"/>
      <c r="AC83" s="180"/>
    </row>
    <row r="84" spans="1:30" ht="12.75" hidden="1" customHeight="1" thickTop="1" x14ac:dyDescent="0.25">
      <c r="A84" s="100"/>
      <c r="B84" s="1029" t="s">
        <v>176</v>
      </c>
      <c r="C84" s="1029" t="e">
        <f>IF(OR(C79="",C79="Check Data",C82="",C82="Check Data"),"",ROUND(C79*C82,3))</f>
        <v>#VALUE!</v>
      </c>
      <c r="D84" s="1030">
        <f>C4</f>
        <v>100</v>
      </c>
      <c r="E84" s="1014" t="e">
        <f>IF(OR(C84="",C84="Check Data",D84="",D84="Check Data"),"",ROUND(C84*D84,2))</f>
        <v>#VALUE!</v>
      </c>
      <c r="F84" s="146"/>
      <c r="G84" s="1025" t="e">
        <f>IF(OR(J17="",J17=0,J17="N/A",J17="na"),IF(J71=0,(J35+#REF!)/2,(J71+#REF!+J35)/3),IF(J71=0,((J35+#REF!)/2+J17)/2,((J71+#REF!+J35)/3+J17)/2))</f>
        <v>#REF!</v>
      </c>
      <c r="H84" s="1027">
        <f>Y6</f>
        <v>0</v>
      </c>
      <c r="I84" s="1027"/>
      <c r="J84" s="1023" t="e">
        <f>G84*H84</f>
        <v>#REF!</v>
      </c>
      <c r="K84" s="148"/>
      <c r="L84" s="132"/>
      <c r="M84" s="1025" t="e">
        <f>IF(OR(P17="",P17=0,P17="N/A",P17="na"),IF(P71=0,(P35+#REF!)/2,(P71+#REF!+P35)/3),IF(P71=0,((P35+#REF!)/2+P17)/2,((P71+#REF!+P35)/3+P17)/2))</f>
        <v>#REF!</v>
      </c>
      <c r="N84" s="1027">
        <f>Y6</f>
        <v>0</v>
      </c>
      <c r="O84" s="1027"/>
      <c r="P84" s="1023" t="e">
        <f>M84*N84</f>
        <v>#REF!</v>
      </c>
      <c r="Q84" s="132"/>
      <c r="R84" s="1025" t="e">
        <f>IF(OR(U17="",U17=0,U17="N/A",U17="na"),IF(U71=0,(U35+#REF!)/2,(U71+#REF!+U35)/3),IF(U71=0,((U35+#REF!)/2+U17)/2,((U71+#REF!+U35)/3+U17)/2))</f>
        <v>#REF!</v>
      </c>
      <c r="S84" s="1027">
        <f>Y6</f>
        <v>0</v>
      </c>
      <c r="T84" s="1027"/>
      <c r="U84" s="1023" t="e">
        <f>R84*S84</f>
        <v>#REF!</v>
      </c>
      <c r="V84" s="132"/>
      <c r="W84" s="132"/>
      <c r="X84" s="1025" t="e">
        <f>IF(OR(AA17="",AA17=0,AA17="N/A",AA17="na"),IF(AA71=0,(AA35+#REF!)/2,(AA71+#REF!+AA35)/3),IF(AA71=0,((AA35+#REF!)/2+AA17)/2,((AA71+#REF!+AA35)/3+AA17)/2))</f>
        <v>#REF!</v>
      </c>
      <c r="Y84" s="1027">
        <f>Y6</f>
        <v>0</v>
      </c>
      <c r="Z84" s="1027"/>
      <c r="AA84" s="1023" t="e">
        <f>X84*Y84</f>
        <v>#REF!</v>
      </c>
      <c r="AB84" s="164"/>
      <c r="AC84" s="180"/>
    </row>
    <row r="85" spans="1:30" ht="13.95" hidden="1" customHeight="1" thickBot="1" x14ac:dyDescent="0.3">
      <c r="A85" s="100"/>
      <c r="B85" s="995"/>
      <c r="C85" s="995"/>
      <c r="D85" s="999"/>
      <c r="E85" s="1015"/>
      <c r="F85" s="146"/>
      <c r="G85" s="1026"/>
      <c r="H85" s="1028"/>
      <c r="I85" s="1028"/>
      <c r="J85" s="1024"/>
      <c r="K85" s="148"/>
      <c r="L85" s="132"/>
      <c r="M85" s="1026"/>
      <c r="N85" s="1028"/>
      <c r="O85" s="1028"/>
      <c r="P85" s="1024"/>
      <c r="Q85" s="132"/>
      <c r="R85" s="1026"/>
      <c r="S85" s="1028"/>
      <c r="T85" s="1028"/>
      <c r="U85" s="1024"/>
      <c r="V85" s="132"/>
      <c r="W85" s="132"/>
      <c r="X85" s="1026"/>
      <c r="Y85" s="1028"/>
      <c r="Z85" s="1028"/>
      <c r="AA85" s="1024"/>
      <c r="AB85" s="164"/>
      <c r="AC85" s="180"/>
      <c r="AD85" s="81"/>
    </row>
    <row r="86" spans="1:30" ht="13.5" hidden="1" customHeight="1" thickTop="1" x14ac:dyDescent="0.25">
      <c r="A86" s="101"/>
      <c r="B86" s="102"/>
      <c r="C86" s="102"/>
      <c r="D86" s="102"/>
      <c r="E86" s="102"/>
      <c r="F86" s="173"/>
      <c r="G86" s="140"/>
      <c r="H86" s="143"/>
      <c r="I86" s="143"/>
      <c r="J86" s="143"/>
      <c r="K86" s="143"/>
      <c r="L86" s="143"/>
      <c r="M86" s="143"/>
      <c r="N86" s="143"/>
      <c r="O86" s="143"/>
      <c r="P86" s="143"/>
      <c r="Q86" s="143"/>
      <c r="R86" s="140"/>
      <c r="S86" s="133"/>
      <c r="T86" s="133"/>
      <c r="U86" s="133"/>
      <c r="V86" s="132"/>
      <c r="W86" s="133"/>
      <c r="X86" s="143"/>
      <c r="Y86" s="143"/>
      <c r="Z86" s="143"/>
      <c r="AA86" s="133"/>
      <c r="AB86" s="164"/>
      <c r="AC86" s="180"/>
      <c r="AD86" s="69"/>
    </row>
    <row r="87" spans="1:30" ht="13.5" customHeight="1" thickTop="1" x14ac:dyDescent="0.25">
      <c r="A87" s="38"/>
      <c r="B87" s="40"/>
      <c r="C87" s="40"/>
      <c r="D87" s="40"/>
      <c r="E87" s="40"/>
      <c r="F87" s="174"/>
      <c r="G87" s="560"/>
      <c r="H87" s="560"/>
      <c r="I87" s="560"/>
      <c r="J87" s="560"/>
      <c r="K87" s="175"/>
      <c r="L87" s="176"/>
      <c r="M87" s="176"/>
      <c r="N87" s="176"/>
      <c r="O87" s="176"/>
      <c r="P87" s="176"/>
      <c r="Q87" s="176"/>
      <c r="R87" s="140"/>
      <c r="S87" s="133"/>
      <c r="T87" s="133"/>
      <c r="U87" s="133"/>
      <c r="V87" s="133"/>
      <c r="W87" s="133"/>
      <c r="X87" s="133"/>
      <c r="Y87" s="133"/>
      <c r="Z87" s="133"/>
      <c r="AA87" s="133"/>
      <c r="AB87" s="348"/>
      <c r="AC87" s="180"/>
    </row>
    <row r="88" spans="1:30" ht="13.5" hidden="1" customHeight="1" x14ac:dyDescent="0.25">
      <c r="A88" s="38"/>
      <c r="B88" s="40"/>
      <c r="C88" s="40"/>
      <c r="D88" s="40"/>
      <c r="E88" s="40"/>
      <c r="F88" s="174"/>
      <c r="G88" s="560"/>
      <c r="H88" s="560"/>
      <c r="I88" s="560"/>
      <c r="J88" s="560"/>
      <c r="K88" s="176"/>
      <c r="L88" s="176"/>
      <c r="M88" s="176"/>
      <c r="N88" s="176"/>
      <c r="O88" s="176"/>
      <c r="P88" s="176"/>
      <c r="Q88" s="176"/>
      <c r="R88" s="151"/>
      <c r="S88" s="133"/>
      <c r="T88" s="133"/>
      <c r="U88" s="133"/>
      <c r="V88" s="133"/>
      <c r="W88" s="133"/>
      <c r="X88" s="133"/>
      <c r="Y88" s="133"/>
      <c r="Z88" s="133"/>
      <c r="AA88" s="133"/>
      <c r="AB88" s="348"/>
      <c r="AC88" s="180"/>
    </row>
    <row r="89" spans="1:30" ht="13.5" hidden="1" customHeight="1" x14ac:dyDescent="0.25">
      <c r="A89" s="38"/>
      <c r="B89" s="40"/>
      <c r="C89" s="40"/>
      <c r="D89" s="40"/>
      <c r="E89" s="40"/>
      <c r="F89" s="174"/>
      <c r="G89" s="560"/>
      <c r="H89" s="560"/>
      <c r="I89" s="560"/>
      <c r="J89" s="560"/>
      <c r="K89" s="176"/>
      <c r="L89" s="176"/>
      <c r="M89" s="176"/>
      <c r="N89" s="176"/>
      <c r="O89" s="176"/>
      <c r="P89" s="176"/>
      <c r="Q89" s="176"/>
      <c r="R89" s="151"/>
      <c r="S89" s="133"/>
      <c r="T89" s="133"/>
      <c r="U89" s="133"/>
      <c r="V89" s="133"/>
      <c r="W89" s="133"/>
      <c r="X89" s="133"/>
      <c r="Y89" s="133"/>
      <c r="Z89" s="133"/>
      <c r="AA89" s="133"/>
      <c r="AB89" s="348"/>
      <c r="AC89" s="180"/>
    </row>
    <row r="90" spans="1:30" ht="13.5" hidden="1" customHeight="1" x14ac:dyDescent="0.25">
      <c r="A90" s="38"/>
      <c r="B90" s="40"/>
      <c r="C90" s="40"/>
      <c r="D90" s="40"/>
      <c r="E90" s="40"/>
      <c r="F90" s="174"/>
      <c r="G90" s="560"/>
      <c r="H90" s="560"/>
      <c r="I90" s="560"/>
      <c r="J90" s="560"/>
      <c r="K90" s="176"/>
      <c r="L90" s="176"/>
      <c r="M90" s="176"/>
      <c r="N90" s="176"/>
      <c r="O90" s="176"/>
      <c r="P90" s="176"/>
      <c r="Q90" s="176"/>
      <c r="R90" s="151"/>
      <c r="S90" s="133"/>
      <c r="T90" s="133"/>
      <c r="U90" s="133"/>
      <c r="V90" s="133"/>
      <c r="W90" s="133"/>
      <c r="X90" s="133"/>
      <c r="Y90" s="133"/>
      <c r="Z90" s="133"/>
      <c r="AA90" s="133"/>
      <c r="AB90" s="348"/>
      <c r="AC90" s="180"/>
    </row>
    <row r="91" spans="1:30" ht="13.5" hidden="1" customHeight="1" x14ac:dyDescent="0.25">
      <c r="A91" s="38"/>
      <c r="B91" s="40"/>
      <c r="C91" s="40"/>
      <c r="D91" s="40"/>
      <c r="E91" s="40"/>
      <c r="F91" s="174"/>
      <c r="G91" s="142"/>
      <c r="H91" s="151"/>
      <c r="I91" s="151"/>
      <c r="J91" s="176"/>
      <c r="K91" s="176"/>
      <c r="L91" s="176"/>
      <c r="M91" s="176"/>
      <c r="N91" s="176"/>
      <c r="O91" s="176"/>
      <c r="P91" s="176"/>
      <c r="Q91" s="176"/>
      <c r="R91" s="151"/>
      <c r="S91" s="133"/>
      <c r="T91" s="133"/>
      <c r="U91" s="133"/>
      <c r="V91" s="133"/>
      <c r="W91" s="133"/>
      <c r="X91" s="133"/>
      <c r="Y91" s="133"/>
      <c r="Z91" s="133"/>
      <c r="AA91" s="133"/>
      <c r="AB91" s="348"/>
      <c r="AC91" s="180"/>
    </row>
    <row r="92" spans="1:30" ht="13.5" hidden="1" customHeight="1" x14ac:dyDescent="0.25">
      <c r="A92" s="38"/>
      <c r="B92" s="40"/>
      <c r="C92" s="40"/>
      <c r="D92" s="40"/>
      <c r="E92" s="40"/>
      <c r="F92" s="174"/>
      <c r="G92" s="142"/>
      <c r="H92" s="151"/>
      <c r="I92" s="151"/>
      <c r="J92" s="176"/>
      <c r="K92" s="176"/>
      <c r="L92" s="176"/>
      <c r="M92" s="176"/>
      <c r="N92" s="176"/>
      <c r="O92" s="176"/>
      <c r="P92" s="176"/>
      <c r="Q92" s="176"/>
      <c r="R92" s="151"/>
      <c r="S92" s="133"/>
      <c r="T92" s="133"/>
      <c r="U92" s="133"/>
      <c r="V92" s="133"/>
      <c r="W92" s="133"/>
      <c r="X92" s="133"/>
      <c r="Y92" s="133"/>
      <c r="Z92" s="133"/>
      <c r="AA92" s="133"/>
      <c r="AB92" s="348"/>
      <c r="AC92" s="180"/>
    </row>
    <row r="93" spans="1:30" ht="13.5" hidden="1" customHeight="1" x14ac:dyDescent="0.25">
      <c r="A93" s="38"/>
      <c r="B93" s="40"/>
      <c r="C93" s="40"/>
      <c r="D93" s="40"/>
      <c r="E93" s="40"/>
      <c r="F93" s="174"/>
      <c r="G93" s="142"/>
      <c r="H93" s="151"/>
      <c r="I93" s="151"/>
      <c r="J93" s="176"/>
      <c r="K93" s="176"/>
      <c r="L93" s="176"/>
      <c r="M93" s="176"/>
      <c r="N93" s="176"/>
      <c r="O93" s="176"/>
      <c r="P93" s="176"/>
      <c r="Q93" s="176"/>
      <c r="R93" s="151"/>
      <c r="S93" s="133"/>
      <c r="T93" s="133"/>
      <c r="U93" s="133"/>
      <c r="V93" s="133"/>
      <c r="W93" s="133"/>
      <c r="X93" s="133"/>
      <c r="Y93" s="133"/>
      <c r="Z93" s="133"/>
      <c r="AA93" s="133"/>
      <c r="AB93" s="348"/>
      <c r="AC93" s="180"/>
    </row>
    <row r="94" spans="1:30" ht="13.5" hidden="1" customHeight="1" x14ac:dyDescent="0.25">
      <c r="A94" s="38"/>
      <c r="B94" s="40"/>
      <c r="C94" s="40"/>
      <c r="D94" s="40"/>
      <c r="E94" s="40"/>
      <c r="F94" s="174"/>
      <c r="G94" s="133"/>
      <c r="H94" s="133"/>
      <c r="I94" s="133"/>
      <c r="J94" s="133"/>
      <c r="K94" s="133"/>
      <c r="L94" s="143"/>
      <c r="M94" s="143"/>
      <c r="N94" s="143"/>
      <c r="O94" s="143"/>
      <c r="P94" s="143"/>
      <c r="Q94" s="143"/>
      <c r="R94" s="132"/>
      <c r="S94" s="133"/>
      <c r="T94" s="133"/>
      <c r="U94" s="133"/>
      <c r="V94" s="133"/>
      <c r="W94" s="133"/>
      <c r="X94" s="133"/>
      <c r="Y94" s="133"/>
      <c r="Z94" s="133"/>
      <c r="AA94" s="133"/>
      <c r="AB94" s="348"/>
      <c r="AC94" s="180"/>
    </row>
    <row r="95" spans="1:30" ht="13.5" hidden="1" customHeight="1" x14ac:dyDescent="0.25">
      <c r="A95" s="38"/>
      <c r="B95" s="40"/>
      <c r="C95" s="40"/>
      <c r="D95" s="40"/>
      <c r="E95" s="40"/>
      <c r="F95" s="174"/>
      <c r="G95" s="133"/>
      <c r="H95" s="133"/>
      <c r="I95" s="133"/>
      <c r="J95" s="133"/>
      <c r="K95" s="133"/>
      <c r="L95" s="133"/>
      <c r="M95" s="133"/>
      <c r="N95" s="133"/>
      <c r="O95" s="133"/>
      <c r="P95" s="133"/>
      <c r="Q95" s="133"/>
      <c r="R95" s="133"/>
      <c r="S95" s="133"/>
      <c r="T95" s="133"/>
      <c r="U95" s="133"/>
      <c r="V95" s="133"/>
      <c r="W95" s="133"/>
      <c r="X95" s="133"/>
      <c r="Y95" s="133"/>
      <c r="Z95" s="133"/>
      <c r="AA95" s="133"/>
      <c r="AB95" s="348"/>
      <c r="AC95" s="177"/>
    </row>
    <row r="96" spans="1:30" ht="13.5" hidden="1" customHeight="1" x14ac:dyDescent="0.25">
      <c r="A96" s="38"/>
      <c r="B96" s="40"/>
      <c r="C96" s="40"/>
      <c r="D96" s="40"/>
      <c r="E96" s="40"/>
      <c r="F96" s="174"/>
      <c r="G96" s="133"/>
      <c r="H96" s="133"/>
      <c r="I96" s="133"/>
      <c r="J96" s="133"/>
      <c r="K96" s="133"/>
      <c r="L96" s="133"/>
      <c r="M96" s="133"/>
      <c r="N96" s="133"/>
      <c r="O96" s="133"/>
      <c r="P96" s="133"/>
      <c r="Q96" s="133"/>
      <c r="R96" s="133"/>
      <c r="S96" s="133"/>
      <c r="T96" s="133"/>
      <c r="U96" s="133"/>
      <c r="V96" s="133"/>
      <c r="W96" s="133"/>
      <c r="X96" s="133"/>
      <c r="Y96" s="133"/>
      <c r="Z96" s="133"/>
      <c r="AA96" s="133"/>
      <c r="AB96" s="348"/>
      <c r="AC96" s="177"/>
    </row>
    <row r="97" spans="1:29" ht="13.5" hidden="1" customHeight="1" x14ac:dyDescent="0.25">
      <c r="A97" s="38"/>
      <c r="B97" s="40"/>
      <c r="C97" s="40"/>
      <c r="D97" s="40"/>
      <c r="E97" s="40"/>
      <c r="F97" s="174"/>
      <c r="G97" s="133"/>
      <c r="H97" s="133"/>
      <c r="I97" s="133"/>
      <c r="J97" s="133"/>
      <c r="K97" s="133"/>
      <c r="L97" s="133"/>
      <c r="M97" s="133"/>
      <c r="N97" s="133"/>
      <c r="O97" s="133"/>
      <c r="P97" s="133"/>
      <c r="Q97" s="133"/>
      <c r="R97" s="133"/>
      <c r="S97" s="133"/>
      <c r="T97" s="133"/>
      <c r="U97" s="133"/>
      <c r="V97" s="133"/>
      <c r="W97" s="133"/>
      <c r="X97" s="133"/>
      <c r="Y97" s="133"/>
      <c r="Z97" s="133"/>
      <c r="AA97" s="133"/>
      <c r="AB97" s="348"/>
      <c r="AC97" s="177"/>
    </row>
    <row r="98" spans="1:29" ht="13.5" hidden="1" customHeight="1" x14ac:dyDescent="0.25">
      <c r="A98" s="38"/>
      <c r="B98" s="40"/>
      <c r="C98" s="40"/>
      <c r="D98" s="40"/>
      <c r="E98" s="40"/>
      <c r="F98" s="174"/>
      <c r="G98" s="133"/>
      <c r="H98" s="133"/>
      <c r="I98" s="133"/>
      <c r="J98" s="133"/>
      <c r="K98" s="133"/>
      <c r="L98" s="133"/>
      <c r="M98" s="133"/>
      <c r="N98" s="133"/>
      <c r="O98" s="133"/>
      <c r="P98" s="133"/>
      <c r="Q98" s="133"/>
      <c r="R98" s="133"/>
      <c r="S98" s="133"/>
      <c r="T98" s="133"/>
      <c r="U98" s="133"/>
      <c r="V98" s="133"/>
      <c r="W98" s="133"/>
      <c r="X98" s="133"/>
      <c r="Y98" s="133"/>
      <c r="Z98" s="133"/>
      <c r="AA98" s="133"/>
      <c r="AB98" s="348"/>
      <c r="AC98" s="177"/>
    </row>
    <row r="99" spans="1:29" ht="13.5" hidden="1" customHeight="1" x14ac:dyDescent="0.25">
      <c r="A99" s="38"/>
      <c r="B99" s="40"/>
      <c r="C99" s="40"/>
      <c r="D99" s="40"/>
      <c r="E99" s="40"/>
      <c r="F99" s="174"/>
      <c r="G99" s="133"/>
      <c r="H99" s="133"/>
      <c r="I99" s="133"/>
      <c r="J99" s="133"/>
      <c r="K99" s="133"/>
      <c r="L99" s="133"/>
      <c r="M99" s="133"/>
      <c r="N99" s="133"/>
      <c r="O99" s="133"/>
      <c r="P99" s="133"/>
      <c r="Q99" s="133"/>
      <c r="R99" s="133"/>
      <c r="S99" s="133"/>
      <c r="T99" s="133"/>
      <c r="U99" s="133"/>
      <c r="V99" s="133"/>
      <c r="W99" s="133"/>
      <c r="X99" s="133"/>
      <c r="Y99" s="133"/>
      <c r="Z99" s="133"/>
      <c r="AA99" s="133"/>
      <c r="AB99" s="348"/>
      <c r="AC99" s="177"/>
    </row>
    <row r="100" spans="1:29" ht="13.5" hidden="1" customHeight="1" x14ac:dyDescent="0.25">
      <c r="A100" s="38"/>
      <c r="B100" s="40"/>
      <c r="C100" s="40"/>
      <c r="D100" s="40"/>
      <c r="E100" s="40"/>
      <c r="F100" s="174"/>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348"/>
      <c r="AC100" s="177"/>
    </row>
    <row r="101" spans="1:29" ht="13.5" hidden="1" customHeight="1" x14ac:dyDescent="0.25">
      <c r="A101" s="38"/>
      <c r="B101" s="40"/>
      <c r="C101" s="40"/>
      <c r="D101" s="40"/>
      <c r="E101" s="40"/>
      <c r="F101" s="174"/>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348"/>
      <c r="AC101" s="177"/>
    </row>
    <row r="102" spans="1:29" ht="13.5" hidden="1" customHeight="1" x14ac:dyDescent="0.25">
      <c r="A102" s="38"/>
      <c r="B102" s="40"/>
      <c r="C102" s="40"/>
      <c r="D102" s="40"/>
      <c r="E102" s="40"/>
      <c r="F102" s="174"/>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348"/>
      <c r="AC102" s="177"/>
    </row>
    <row r="103" spans="1:29" ht="13.5" hidden="1" customHeight="1" x14ac:dyDescent="0.25">
      <c r="A103" s="38"/>
      <c r="B103" s="40"/>
      <c r="C103" s="40"/>
      <c r="D103" s="40"/>
      <c r="E103" s="40"/>
      <c r="F103" s="174"/>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348"/>
      <c r="AC103" s="177"/>
    </row>
    <row r="104" spans="1:29" ht="13.5" hidden="1" customHeight="1" x14ac:dyDescent="0.25">
      <c r="A104" s="38"/>
      <c r="B104" s="40"/>
      <c r="C104" s="40"/>
      <c r="D104" s="40"/>
      <c r="E104" s="40"/>
      <c r="F104" s="174"/>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348"/>
      <c r="AC104" s="177"/>
    </row>
    <row r="105" spans="1:29" ht="13.5" hidden="1" customHeight="1" x14ac:dyDescent="0.25">
      <c r="A105" s="38"/>
      <c r="B105" s="40"/>
      <c r="C105" s="40"/>
      <c r="D105" s="40"/>
      <c r="E105" s="40"/>
      <c r="F105" s="174"/>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348"/>
      <c r="AC105" s="177"/>
    </row>
    <row r="106" spans="1:29" ht="13.5" hidden="1" customHeight="1" x14ac:dyDescent="0.25">
      <c r="A106" s="38"/>
      <c r="B106" s="40"/>
      <c r="C106" s="40"/>
      <c r="D106" s="40"/>
      <c r="E106" s="40"/>
      <c r="F106" s="174"/>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348"/>
      <c r="AC106" s="177"/>
    </row>
    <row r="107" spans="1:29" ht="13.5" hidden="1" customHeight="1" x14ac:dyDescent="0.25">
      <c r="A107" s="38"/>
      <c r="B107" s="40"/>
      <c r="C107" s="40"/>
      <c r="D107" s="40"/>
      <c r="E107" s="40"/>
      <c r="F107" s="174"/>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348"/>
      <c r="AC107" s="177"/>
    </row>
    <row r="108" spans="1:29" ht="13.5" hidden="1" customHeight="1" x14ac:dyDescent="0.25">
      <c r="A108" s="38"/>
      <c r="B108" s="40"/>
      <c r="C108" s="40"/>
      <c r="D108" s="40"/>
      <c r="E108" s="40"/>
      <c r="F108" s="174"/>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348"/>
      <c r="AC108" s="177"/>
    </row>
    <row r="109" spans="1:29" ht="13.5" hidden="1" customHeight="1" x14ac:dyDescent="0.25">
      <c r="A109" s="38"/>
      <c r="B109" s="40"/>
      <c r="C109" s="40"/>
      <c r="D109" s="40"/>
      <c r="E109" s="40"/>
      <c r="F109" s="174"/>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348"/>
      <c r="AC109" s="177"/>
    </row>
    <row r="110" spans="1:29" ht="13.5" hidden="1" customHeight="1" x14ac:dyDescent="0.25">
      <c r="A110" s="38"/>
      <c r="B110" s="40"/>
      <c r="C110" s="40"/>
      <c r="D110" s="40"/>
      <c r="E110" s="40"/>
      <c r="F110" s="174"/>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348"/>
      <c r="AC110" s="177"/>
    </row>
    <row r="111" spans="1:29" ht="13.5" hidden="1" customHeight="1" x14ac:dyDescent="0.25">
      <c r="A111" s="38"/>
      <c r="B111" s="40"/>
      <c r="C111" s="40"/>
      <c r="D111" s="40"/>
      <c r="E111" s="40"/>
      <c r="F111" s="174"/>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348"/>
      <c r="AC111" s="177"/>
    </row>
    <row r="112" spans="1:29" ht="13.5" hidden="1" customHeight="1" x14ac:dyDescent="0.25">
      <c r="A112" s="38"/>
      <c r="B112" s="40"/>
      <c r="C112" s="40"/>
      <c r="D112" s="40"/>
      <c r="E112" s="40"/>
      <c r="F112" s="174"/>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348"/>
      <c r="AC112" s="177"/>
    </row>
    <row r="113" spans="1:30" ht="13.5" hidden="1" customHeight="1" x14ac:dyDescent="0.25">
      <c r="A113" s="38"/>
      <c r="B113" s="40"/>
      <c r="C113" s="40"/>
      <c r="D113" s="40"/>
      <c r="E113" s="40"/>
      <c r="F113" s="174"/>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348"/>
      <c r="AC113" s="177"/>
    </row>
    <row r="114" spans="1:30" ht="13.5" hidden="1" customHeight="1" x14ac:dyDescent="0.25">
      <c r="A114" s="38"/>
      <c r="B114" s="40"/>
      <c r="C114" s="40"/>
      <c r="D114" s="40"/>
      <c r="E114" s="40"/>
      <c r="F114" s="174"/>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348"/>
      <c r="AC114" s="177"/>
    </row>
    <row r="115" spans="1:30" ht="13.5" hidden="1" customHeight="1" x14ac:dyDescent="0.25">
      <c r="A115" s="38"/>
      <c r="B115" s="40"/>
      <c r="C115" s="40"/>
      <c r="D115" s="40"/>
      <c r="E115" s="40"/>
      <c r="F115" s="174"/>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348"/>
      <c r="AC115" s="177"/>
    </row>
    <row r="116" spans="1:30" ht="13.5" hidden="1" customHeight="1" x14ac:dyDescent="0.25">
      <c r="A116" s="38"/>
      <c r="B116" s="40"/>
      <c r="C116" s="40"/>
      <c r="D116" s="40"/>
      <c r="E116" s="40"/>
      <c r="F116" s="174"/>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348"/>
      <c r="AC116" s="177"/>
    </row>
    <row r="117" spans="1:30" ht="13.5" hidden="1" customHeight="1" x14ac:dyDescent="0.25">
      <c r="A117" s="38"/>
      <c r="B117" s="40"/>
      <c r="C117" s="40"/>
      <c r="D117" s="40"/>
      <c r="E117" s="40"/>
      <c r="F117" s="174"/>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348"/>
      <c r="AC117" s="177"/>
    </row>
    <row r="118" spans="1:30" ht="13.5" hidden="1" customHeight="1" x14ac:dyDescent="0.25">
      <c r="A118" s="38"/>
      <c r="B118" s="40"/>
      <c r="C118" s="40"/>
      <c r="D118" s="40"/>
      <c r="E118" s="40"/>
      <c r="F118" s="174"/>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348"/>
      <c r="AC118" s="177"/>
    </row>
    <row r="119" spans="1:30" ht="13.5" hidden="1" customHeight="1" x14ac:dyDescent="0.25">
      <c r="A119" s="38"/>
      <c r="B119" s="40"/>
      <c r="C119" s="40"/>
      <c r="D119" s="40"/>
      <c r="E119" s="40"/>
      <c r="F119" s="174"/>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348"/>
      <c r="AC119" s="177"/>
    </row>
    <row r="120" spans="1:30" ht="13.5" hidden="1" customHeight="1" x14ac:dyDescent="0.25">
      <c r="A120" s="38"/>
      <c r="B120" s="40"/>
      <c r="C120" s="40"/>
      <c r="D120" s="40"/>
      <c r="E120" s="40"/>
      <c r="F120" s="174"/>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348"/>
      <c r="AC120" s="177"/>
    </row>
    <row r="121" spans="1:30" ht="13.5" hidden="1" customHeight="1" x14ac:dyDescent="0.25">
      <c r="A121" s="38"/>
      <c r="B121" s="40"/>
      <c r="C121" s="40"/>
      <c r="D121" s="40"/>
      <c r="E121" s="40"/>
      <c r="F121" s="174"/>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348"/>
      <c r="AC121" s="177"/>
      <c r="AD121" s="70"/>
    </row>
    <row r="122" spans="1:30" ht="13.5" hidden="1" customHeight="1" x14ac:dyDescent="0.25">
      <c r="A122" s="38"/>
      <c r="B122" s="40"/>
      <c r="C122" s="40"/>
      <c r="D122" s="40"/>
      <c r="E122" s="40"/>
      <c r="F122" s="174"/>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348"/>
      <c r="AC122" s="177"/>
    </row>
    <row r="123" spans="1:30" ht="13.5" hidden="1" customHeight="1" x14ac:dyDescent="0.25">
      <c r="A123" s="38"/>
      <c r="B123" s="40"/>
      <c r="C123" s="40"/>
      <c r="D123" s="40"/>
      <c r="E123" s="40"/>
      <c r="F123" s="174"/>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348"/>
      <c r="AC123" s="177"/>
    </row>
    <row r="124" spans="1:30" ht="13.5" hidden="1" customHeight="1" x14ac:dyDescent="0.25">
      <c r="A124" s="38"/>
      <c r="B124" s="40"/>
      <c r="C124" s="40"/>
      <c r="D124" s="40"/>
      <c r="E124" s="40"/>
      <c r="F124" s="174"/>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348"/>
      <c r="AC124" s="177"/>
    </row>
    <row r="125" spans="1:30" ht="13.5" hidden="1" customHeight="1" x14ac:dyDescent="0.25">
      <c r="A125" s="38"/>
      <c r="B125" s="40"/>
      <c r="C125" s="40"/>
      <c r="D125" s="40"/>
      <c r="E125" s="40"/>
      <c r="F125" s="174"/>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348"/>
    </row>
    <row r="126" spans="1:30" ht="13.5" hidden="1" customHeight="1" x14ac:dyDescent="0.25">
      <c r="A126" s="38"/>
      <c r="B126" s="56"/>
      <c r="C126" s="56"/>
      <c r="D126" s="56"/>
      <c r="E126" s="56"/>
      <c r="F126" s="178"/>
    </row>
    <row r="127" spans="1:30" ht="13.5" hidden="1" customHeight="1" x14ac:dyDescent="0.25">
      <c r="A127" s="38"/>
      <c r="B127" s="56"/>
      <c r="C127" s="56"/>
      <c r="D127" s="56"/>
      <c r="E127" s="56"/>
      <c r="F127" s="178"/>
    </row>
    <row r="128" spans="1:30" ht="13.5" hidden="1" customHeight="1" x14ac:dyDescent="0.25">
      <c r="A128" s="38"/>
      <c r="B128" s="56"/>
      <c r="C128" s="56"/>
      <c r="D128" s="56"/>
      <c r="E128" s="56"/>
      <c r="F128" s="178"/>
    </row>
    <row r="129" spans="1:6" ht="13.5" hidden="1" customHeight="1" x14ac:dyDescent="0.25">
      <c r="A129" s="38"/>
      <c r="B129" s="56"/>
      <c r="C129" s="56"/>
      <c r="D129" s="56"/>
      <c r="E129" s="56"/>
      <c r="F129" s="178"/>
    </row>
    <row r="130" spans="1:6" ht="13.5" hidden="1" customHeight="1" x14ac:dyDescent="0.25">
      <c r="A130" s="38"/>
      <c r="B130" s="56"/>
      <c r="C130" s="56"/>
      <c r="D130" s="56"/>
      <c r="E130" s="56"/>
      <c r="F130" s="178"/>
    </row>
    <row r="131" spans="1:6" ht="13.5" hidden="1" customHeight="1" x14ac:dyDescent="0.25">
      <c r="A131" s="38"/>
      <c r="B131" s="56"/>
      <c r="C131" s="56"/>
      <c r="D131" s="56"/>
      <c r="E131" s="56"/>
      <c r="F131" s="178"/>
    </row>
    <row r="132" spans="1:6" ht="13.5" hidden="1" customHeight="1" x14ac:dyDescent="0.25">
      <c r="A132" s="38"/>
      <c r="B132" s="56"/>
      <c r="C132" s="56"/>
      <c r="D132" s="56"/>
      <c r="E132" s="56"/>
      <c r="F132" s="178"/>
    </row>
    <row r="133" spans="1:6" ht="13.5" hidden="1" customHeight="1" x14ac:dyDescent="0.25">
      <c r="A133" s="38"/>
      <c r="B133" s="56"/>
      <c r="C133" s="56"/>
      <c r="D133" s="56"/>
      <c r="E133" s="56"/>
      <c r="F133" s="178"/>
    </row>
    <row r="134" spans="1:6" ht="13.5" hidden="1" customHeight="1" x14ac:dyDescent="0.25">
      <c r="A134" s="38"/>
      <c r="B134" s="56"/>
      <c r="C134" s="56"/>
      <c r="D134" s="56"/>
      <c r="E134" s="56"/>
      <c r="F134" s="178"/>
    </row>
    <row r="135" spans="1:6" ht="13.5" hidden="1" customHeight="1" x14ac:dyDescent="0.25">
      <c r="A135" s="38"/>
      <c r="B135" s="56"/>
      <c r="C135" s="56"/>
      <c r="D135" s="56"/>
      <c r="E135" s="56"/>
      <c r="F135" s="178"/>
    </row>
    <row r="136" spans="1:6" ht="13.5" hidden="1" customHeight="1" x14ac:dyDescent="0.25">
      <c r="A136" s="38"/>
      <c r="B136" s="56"/>
      <c r="C136" s="56"/>
      <c r="D136" s="56"/>
      <c r="E136" s="56"/>
      <c r="F136" s="178"/>
    </row>
    <row r="137" spans="1:6" ht="13.5" hidden="1" customHeight="1" x14ac:dyDescent="0.25">
      <c r="A137" s="38"/>
      <c r="B137" s="56"/>
      <c r="C137" s="56"/>
      <c r="D137" s="56"/>
      <c r="E137" s="56"/>
      <c r="F137" s="178"/>
    </row>
    <row r="138" spans="1:6" ht="13.5" hidden="1" customHeight="1" x14ac:dyDescent="0.25">
      <c r="A138" s="38"/>
      <c r="B138" s="56"/>
      <c r="C138" s="56"/>
      <c r="D138" s="56"/>
      <c r="E138" s="56"/>
      <c r="F138" s="178"/>
    </row>
    <row r="139" spans="1:6" ht="13.5" hidden="1" customHeight="1" x14ac:dyDescent="0.25">
      <c r="A139" s="38"/>
      <c r="B139" s="56"/>
      <c r="C139" s="56"/>
      <c r="D139" s="56"/>
      <c r="E139" s="56"/>
      <c r="F139" s="178"/>
    </row>
    <row r="140" spans="1:6" ht="13.5" hidden="1" customHeight="1" x14ac:dyDescent="0.25">
      <c r="A140" s="38"/>
      <c r="B140" s="56"/>
      <c r="C140" s="56"/>
      <c r="D140" s="56"/>
      <c r="E140" s="56"/>
      <c r="F140" s="178"/>
    </row>
    <row r="141" spans="1:6" ht="13.5" hidden="1" customHeight="1" x14ac:dyDescent="0.25">
      <c r="A141" s="38"/>
      <c r="B141" s="56"/>
      <c r="C141" s="56"/>
      <c r="D141" s="56"/>
      <c r="E141" s="56"/>
      <c r="F141" s="178"/>
    </row>
    <row r="142" spans="1:6" ht="13.5" hidden="1" customHeight="1" x14ac:dyDescent="0.25">
      <c r="A142" s="38"/>
      <c r="B142" s="56"/>
      <c r="C142" s="56"/>
      <c r="D142" s="56"/>
      <c r="E142" s="56"/>
      <c r="F142" s="178"/>
    </row>
    <row r="143" spans="1:6" ht="13.5" hidden="1" customHeight="1" x14ac:dyDescent="0.25">
      <c r="A143" s="38"/>
      <c r="B143" s="56"/>
      <c r="C143" s="56"/>
      <c r="D143" s="56"/>
      <c r="E143" s="56"/>
      <c r="F143" s="178"/>
    </row>
    <row r="144" spans="1:6" ht="13.5" hidden="1" customHeight="1" x14ac:dyDescent="0.25">
      <c r="A144" s="38"/>
      <c r="B144" s="56"/>
      <c r="C144" s="56"/>
      <c r="D144" s="56"/>
      <c r="E144" s="56"/>
      <c r="F144" s="178"/>
    </row>
    <row r="145" spans="1:6" ht="13.5" hidden="1" customHeight="1" x14ac:dyDescent="0.25">
      <c r="A145" s="38"/>
      <c r="B145" s="56"/>
      <c r="C145" s="56"/>
      <c r="D145" s="56"/>
      <c r="E145" s="56"/>
      <c r="F145" s="178"/>
    </row>
    <row r="146" spans="1:6" ht="13.5" hidden="1" customHeight="1" x14ac:dyDescent="0.25">
      <c r="A146" s="38"/>
      <c r="B146" s="56"/>
      <c r="C146" s="56"/>
      <c r="D146" s="56"/>
      <c r="E146" s="56"/>
      <c r="F146" s="178"/>
    </row>
    <row r="147" spans="1:6" ht="13.5" hidden="1" customHeight="1" x14ac:dyDescent="0.25">
      <c r="A147" s="38"/>
      <c r="B147" s="56"/>
      <c r="C147" s="56"/>
      <c r="D147" s="56"/>
      <c r="E147" s="56"/>
      <c r="F147" s="178"/>
    </row>
    <row r="148" spans="1:6" ht="13.5" hidden="1" customHeight="1" x14ac:dyDescent="0.25">
      <c r="A148" s="38"/>
      <c r="B148" s="56"/>
      <c r="C148" s="56"/>
      <c r="D148" s="56"/>
      <c r="E148" s="56"/>
      <c r="F148" s="178"/>
    </row>
    <row r="149" spans="1:6" ht="13.5" hidden="1" customHeight="1" x14ac:dyDescent="0.25">
      <c r="A149" s="38"/>
      <c r="B149" s="56"/>
      <c r="C149" s="56"/>
      <c r="D149" s="56"/>
      <c r="E149" s="56"/>
      <c r="F149" s="178"/>
    </row>
    <row r="150" spans="1:6" ht="13.5" hidden="1" customHeight="1" x14ac:dyDescent="0.25">
      <c r="A150" s="38"/>
      <c r="B150" s="56"/>
      <c r="C150" s="56"/>
      <c r="D150" s="56"/>
      <c r="E150" s="56"/>
      <c r="F150" s="178"/>
    </row>
    <row r="151" spans="1:6" ht="13.5" hidden="1" customHeight="1" x14ac:dyDescent="0.25">
      <c r="A151" s="38"/>
      <c r="B151" s="56"/>
      <c r="C151" s="56"/>
      <c r="D151" s="56"/>
      <c r="E151" s="56"/>
      <c r="F151" s="178"/>
    </row>
    <row r="152" spans="1:6" ht="13.5" hidden="1" customHeight="1" x14ac:dyDescent="0.25">
      <c r="A152" s="38"/>
      <c r="B152" s="56"/>
      <c r="C152" s="56"/>
      <c r="D152" s="56"/>
      <c r="E152" s="56"/>
      <c r="F152" s="178"/>
    </row>
    <row r="153" spans="1:6" ht="13.5" hidden="1" customHeight="1" x14ac:dyDescent="0.25">
      <c r="A153" s="38"/>
      <c r="B153" s="56"/>
      <c r="C153" s="56"/>
      <c r="D153" s="56"/>
      <c r="E153" s="56"/>
      <c r="F153" s="178"/>
    </row>
    <row r="154" spans="1:6" ht="13.5" hidden="1" customHeight="1" x14ac:dyDescent="0.25">
      <c r="A154" s="38"/>
      <c r="B154" s="56"/>
      <c r="C154" s="56"/>
      <c r="D154" s="56"/>
      <c r="E154" s="56"/>
      <c r="F154" s="178"/>
    </row>
    <row r="155" spans="1:6" ht="13.5" hidden="1" customHeight="1" x14ac:dyDescent="0.25">
      <c r="A155" s="38"/>
      <c r="B155" s="56"/>
      <c r="C155" s="56"/>
      <c r="D155" s="56"/>
      <c r="E155" s="56"/>
      <c r="F155" s="178"/>
    </row>
    <row r="156" spans="1:6" ht="13.5" hidden="1" customHeight="1" x14ac:dyDescent="0.25">
      <c r="A156" s="38"/>
      <c r="B156" s="56"/>
      <c r="C156" s="56"/>
      <c r="D156" s="56"/>
      <c r="E156" s="56"/>
      <c r="F156" s="178"/>
    </row>
    <row r="157" spans="1:6" ht="13.5" hidden="1" customHeight="1" x14ac:dyDescent="0.25">
      <c r="A157" s="38"/>
      <c r="B157" s="56"/>
      <c r="C157" s="56"/>
      <c r="D157" s="56"/>
      <c r="E157" s="56"/>
      <c r="F157" s="178"/>
    </row>
    <row r="158" spans="1:6" ht="13.5" hidden="1" customHeight="1" x14ac:dyDescent="0.25">
      <c r="A158" s="38"/>
      <c r="B158" s="56"/>
      <c r="C158" s="56"/>
      <c r="D158" s="56"/>
      <c r="E158" s="56"/>
      <c r="F158" s="178"/>
    </row>
    <row r="159" spans="1:6" ht="13.5" hidden="1" customHeight="1" x14ac:dyDescent="0.25">
      <c r="A159" s="38"/>
      <c r="B159" s="56"/>
      <c r="C159" s="56"/>
      <c r="D159" s="56"/>
      <c r="E159" s="56"/>
      <c r="F159" s="178"/>
    </row>
    <row r="160" spans="1:6" ht="13.5" hidden="1" customHeight="1" x14ac:dyDescent="0.25">
      <c r="A160" s="38"/>
      <c r="B160" s="56"/>
      <c r="C160" s="56"/>
      <c r="D160" s="56"/>
      <c r="E160" s="56"/>
      <c r="F160" s="178"/>
    </row>
    <row r="161" spans="1:6" ht="13.5" hidden="1" customHeight="1" x14ac:dyDescent="0.25">
      <c r="A161" s="38"/>
      <c r="B161" s="56"/>
      <c r="C161" s="56"/>
      <c r="D161" s="56"/>
      <c r="E161" s="56"/>
      <c r="F161" s="178"/>
    </row>
    <row r="162" spans="1:6" ht="13.5" hidden="1" customHeight="1" x14ac:dyDescent="0.25">
      <c r="A162" s="38"/>
      <c r="B162" s="56"/>
      <c r="C162" s="56"/>
      <c r="D162" s="56"/>
      <c r="E162" s="56"/>
      <c r="F162" s="178"/>
    </row>
    <row r="163" spans="1:6" ht="13.5" hidden="1" customHeight="1" x14ac:dyDescent="0.25">
      <c r="A163" s="38"/>
      <c r="B163" s="56"/>
      <c r="C163" s="56"/>
      <c r="D163" s="56"/>
      <c r="E163" s="56"/>
      <c r="F163" s="178"/>
    </row>
    <row r="164" spans="1:6" ht="13.5" hidden="1" customHeight="1" x14ac:dyDescent="0.25">
      <c r="A164" s="38"/>
      <c r="B164" s="56"/>
      <c r="C164" s="56"/>
      <c r="D164" s="56"/>
      <c r="E164" s="56"/>
      <c r="F164" s="178"/>
    </row>
    <row r="165" spans="1:6" ht="13.5" hidden="1" customHeight="1" x14ac:dyDescent="0.25">
      <c r="A165" s="38"/>
      <c r="B165" s="56"/>
      <c r="C165" s="56"/>
      <c r="D165" s="56"/>
      <c r="E165" s="56"/>
      <c r="F165" s="178"/>
    </row>
    <row r="166" spans="1:6" ht="13.5" hidden="1" customHeight="1" x14ac:dyDescent="0.25">
      <c r="A166" s="38"/>
      <c r="B166" s="56"/>
      <c r="C166" s="56"/>
      <c r="D166" s="56"/>
      <c r="E166" s="56"/>
      <c r="F166" s="178"/>
    </row>
    <row r="167" spans="1:6" ht="13.5" hidden="1" customHeight="1" x14ac:dyDescent="0.25">
      <c r="A167" s="38"/>
      <c r="B167" s="56"/>
      <c r="C167" s="56"/>
      <c r="D167" s="56"/>
      <c r="E167" s="56"/>
      <c r="F167" s="178"/>
    </row>
    <row r="168" spans="1:6" ht="13.5" hidden="1" customHeight="1" x14ac:dyDescent="0.25">
      <c r="A168" s="38"/>
      <c r="B168" s="56"/>
      <c r="C168" s="56"/>
      <c r="D168" s="56"/>
      <c r="E168" s="56"/>
      <c r="F168" s="178"/>
    </row>
    <row r="169" spans="1:6" ht="13.5" hidden="1" customHeight="1" x14ac:dyDescent="0.25">
      <c r="A169" s="38"/>
      <c r="B169" s="56"/>
      <c r="C169" s="56"/>
      <c r="D169" s="56"/>
      <c r="E169" s="56"/>
      <c r="F169" s="178"/>
    </row>
    <row r="170" spans="1:6" ht="13.5" hidden="1" customHeight="1" x14ac:dyDescent="0.25">
      <c r="A170" s="38"/>
      <c r="B170" s="56"/>
      <c r="C170" s="56"/>
      <c r="D170" s="56"/>
      <c r="E170" s="56"/>
      <c r="F170" s="178"/>
    </row>
    <row r="171" spans="1:6" ht="13.5" hidden="1" customHeight="1" x14ac:dyDescent="0.25">
      <c r="A171" s="38"/>
      <c r="B171" s="56"/>
      <c r="C171" s="56"/>
      <c r="D171" s="56"/>
      <c r="E171" s="56"/>
      <c r="F171" s="178"/>
    </row>
    <row r="172" spans="1:6" ht="13.5" hidden="1" customHeight="1" x14ac:dyDescent="0.25">
      <c r="A172" s="38"/>
      <c r="B172" s="56"/>
      <c r="C172" s="56"/>
      <c r="D172" s="56"/>
      <c r="E172" s="56"/>
      <c r="F172" s="178"/>
    </row>
    <row r="173" spans="1:6" ht="13.5" hidden="1" customHeight="1" x14ac:dyDescent="0.25">
      <c r="A173" s="38"/>
      <c r="B173" s="56"/>
      <c r="C173" s="56"/>
      <c r="D173" s="56"/>
      <c r="E173" s="56"/>
      <c r="F173" s="178"/>
    </row>
    <row r="174" spans="1:6" ht="13.5" hidden="1" customHeight="1" x14ac:dyDescent="0.25">
      <c r="A174" s="38"/>
      <c r="B174" s="56"/>
      <c r="C174" s="56"/>
      <c r="D174" s="56"/>
      <c r="E174" s="56"/>
      <c r="F174" s="178"/>
    </row>
    <row r="175" spans="1:6" ht="13.5" hidden="1" customHeight="1" x14ac:dyDescent="0.25">
      <c r="A175" s="38"/>
      <c r="B175" s="56"/>
      <c r="C175" s="56"/>
      <c r="D175" s="56"/>
      <c r="E175" s="56"/>
      <c r="F175" s="178"/>
    </row>
    <row r="176" spans="1:6" ht="13.5" hidden="1" customHeight="1" x14ac:dyDescent="0.25">
      <c r="A176" s="38"/>
      <c r="B176" s="56"/>
      <c r="C176" s="56"/>
      <c r="D176" s="56"/>
      <c r="E176" s="56"/>
      <c r="F176" s="178"/>
    </row>
    <row r="177" spans="1:6" ht="13.5" hidden="1" customHeight="1" x14ac:dyDescent="0.25">
      <c r="A177" s="38"/>
      <c r="B177" s="56"/>
      <c r="C177" s="56"/>
      <c r="D177" s="56"/>
      <c r="E177" s="56"/>
      <c r="F177" s="178"/>
    </row>
    <row r="178" spans="1:6" ht="13.5" hidden="1" customHeight="1" x14ac:dyDescent="0.25">
      <c r="A178" s="38"/>
      <c r="B178" s="56"/>
      <c r="C178" s="56"/>
      <c r="D178" s="56"/>
      <c r="E178" s="56"/>
      <c r="F178" s="178"/>
    </row>
    <row r="179" spans="1:6" ht="13.5" hidden="1" customHeight="1" x14ac:dyDescent="0.25">
      <c r="A179" s="38"/>
      <c r="B179" s="56"/>
      <c r="C179" s="56"/>
      <c r="D179" s="56"/>
      <c r="E179" s="56"/>
      <c r="F179" s="178"/>
    </row>
    <row r="180" spans="1:6" ht="13.5" hidden="1" customHeight="1" x14ac:dyDescent="0.25">
      <c r="A180" s="38"/>
      <c r="B180" s="56"/>
      <c r="C180" s="56"/>
      <c r="D180" s="56"/>
      <c r="E180" s="56"/>
      <c r="F180" s="178"/>
    </row>
    <row r="181" spans="1:6" ht="13.5" hidden="1" customHeight="1" x14ac:dyDescent="0.25">
      <c r="A181" s="38"/>
      <c r="B181" s="56"/>
      <c r="C181" s="56"/>
      <c r="D181" s="56"/>
      <c r="E181" s="56"/>
      <c r="F181" s="178"/>
    </row>
    <row r="182" spans="1:6" ht="13.5" hidden="1" customHeight="1" x14ac:dyDescent="0.25">
      <c r="A182" s="38"/>
      <c r="B182" s="56"/>
      <c r="C182" s="56"/>
      <c r="D182" s="56"/>
      <c r="E182" s="56"/>
      <c r="F182" s="178"/>
    </row>
    <row r="183" spans="1:6" ht="13.5" hidden="1" customHeight="1" x14ac:dyDescent="0.25">
      <c r="A183" s="38"/>
      <c r="B183" s="56"/>
      <c r="C183" s="56"/>
      <c r="D183" s="56"/>
      <c r="E183" s="56"/>
      <c r="F183" s="178"/>
    </row>
    <row r="184" spans="1:6" ht="13.5" hidden="1" customHeight="1" x14ac:dyDescent="0.25">
      <c r="A184" s="38"/>
      <c r="B184" s="56"/>
      <c r="C184" s="56"/>
      <c r="D184" s="56"/>
      <c r="E184" s="56"/>
      <c r="F184" s="178"/>
    </row>
    <row r="185" spans="1:6" ht="13.5" hidden="1" customHeight="1" x14ac:dyDescent="0.25">
      <c r="A185" s="38"/>
      <c r="B185" s="56"/>
      <c r="C185" s="56"/>
      <c r="D185" s="56"/>
      <c r="E185" s="56"/>
      <c r="F185" s="178"/>
    </row>
    <row r="186" spans="1:6" ht="13.5" hidden="1" customHeight="1" x14ac:dyDescent="0.25">
      <c r="A186" s="38"/>
      <c r="B186" s="56"/>
      <c r="C186" s="56"/>
      <c r="D186" s="56"/>
      <c r="E186" s="56"/>
      <c r="F186" s="178"/>
    </row>
    <row r="187" spans="1:6" ht="13.5" hidden="1" customHeight="1" x14ac:dyDescent="0.25">
      <c r="A187" s="38"/>
      <c r="B187" s="56"/>
      <c r="C187" s="56"/>
      <c r="D187" s="56"/>
      <c r="E187" s="56"/>
      <c r="F187" s="178"/>
    </row>
    <row r="188" spans="1:6" ht="13.5" hidden="1" customHeight="1" x14ac:dyDescent="0.25">
      <c r="A188" s="38"/>
      <c r="B188" s="56"/>
      <c r="C188" s="56"/>
      <c r="D188" s="56"/>
      <c r="E188" s="56"/>
      <c r="F188" s="178"/>
    </row>
    <row r="189" spans="1:6" ht="13.5" hidden="1" customHeight="1" x14ac:dyDescent="0.25">
      <c r="A189" s="38"/>
      <c r="B189" s="56"/>
      <c r="C189" s="56"/>
      <c r="D189" s="56"/>
      <c r="E189" s="56"/>
      <c r="F189" s="178"/>
    </row>
    <row r="190" spans="1:6" ht="13.5" hidden="1" customHeight="1" x14ac:dyDescent="0.25">
      <c r="A190" s="38"/>
      <c r="B190" s="56"/>
      <c r="C190" s="56"/>
      <c r="D190" s="56"/>
      <c r="E190" s="56"/>
      <c r="F190" s="178"/>
    </row>
    <row r="191" spans="1:6" ht="13.5" hidden="1" customHeight="1" x14ac:dyDescent="0.25">
      <c r="A191" s="38"/>
      <c r="B191" s="56"/>
      <c r="C191" s="56"/>
      <c r="D191" s="56"/>
      <c r="E191" s="56"/>
      <c r="F191" s="178"/>
    </row>
    <row r="192" spans="1:6" ht="13.5" hidden="1" customHeight="1" x14ac:dyDescent="0.25">
      <c r="A192" s="38"/>
      <c r="B192" s="56"/>
      <c r="C192" s="56"/>
      <c r="D192" s="56"/>
      <c r="E192" s="56"/>
      <c r="F192" s="178"/>
    </row>
    <row r="193" spans="1:6" ht="13.5" hidden="1" customHeight="1" x14ac:dyDescent="0.25">
      <c r="A193" s="38"/>
      <c r="B193" s="56"/>
      <c r="C193" s="56"/>
      <c r="D193" s="56"/>
      <c r="E193" s="56"/>
      <c r="F193" s="178"/>
    </row>
    <row r="194" spans="1:6" ht="13.5" hidden="1" customHeight="1" x14ac:dyDescent="0.25">
      <c r="A194" s="38"/>
      <c r="B194" s="56"/>
      <c r="C194" s="56"/>
      <c r="D194" s="56"/>
      <c r="E194" s="56"/>
      <c r="F194" s="178"/>
    </row>
    <row r="195" spans="1:6" ht="13.5" hidden="1" customHeight="1" x14ac:dyDescent="0.25">
      <c r="A195" s="38"/>
      <c r="B195" s="56"/>
      <c r="C195" s="56"/>
      <c r="D195" s="56"/>
      <c r="E195" s="56"/>
      <c r="F195" s="178"/>
    </row>
    <row r="196" spans="1:6" ht="13.5" hidden="1" customHeight="1" x14ac:dyDescent="0.25">
      <c r="A196" s="38"/>
      <c r="B196" s="56"/>
      <c r="C196" s="56"/>
      <c r="D196" s="56"/>
      <c r="E196" s="56"/>
      <c r="F196" s="178"/>
    </row>
    <row r="197" spans="1:6" ht="13.5" hidden="1" customHeight="1" x14ac:dyDescent="0.25">
      <c r="A197" s="38"/>
      <c r="B197" s="56"/>
      <c r="C197" s="56"/>
      <c r="D197" s="56"/>
      <c r="E197" s="56"/>
      <c r="F197" s="178"/>
    </row>
    <row r="198" spans="1:6" ht="13.5" hidden="1" customHeight="1" x14ac:dyDescent="0.25">
      <c r="A198" s="38"/>
      <c r="B198" s="56"/>
      <c r="C198" s="56"/>
      <c r="D198" s="56"/>
      <c r="E198" s="56"/>
      <c r="F198" s="178"/>
    </row>
    <row r="199" spans="1:6" ht="13.5" hidden="1" customHeight="1" x14ac:dyDescent="0.25">
      <c r="A199" s="38"/>
      <c r="B199" s="56"/>
      <c r="C199" s="56"/>
      <c r="D199" s="56"/>
      <c r="E199" s="56"/>
      <c r="F199" s="178"/>
    </row>
    <row r="200" spans="1:6" ht="13.5" hidden="1" customHeight="1" x14ac:dyDescent="0.25">
      <c r="A200" s="38"/>
      <c r="B200" s="56"/>
      <c r="C200" s="56"/>
      <c r="D200" s="56"/>
      <c r="E200" s="56"/>
      <c r="F200" s="178"/>
    </row>
    <row r="201" spans="1:6" ht="13.5" hidden="1" customHeight="1" x14ac:dyDescent="0.25">
      <c r="A201" s="38"/>
      <c r="B201" s="56"/>
      <c r="C201" s="56"/>
      <c r="D201" s="56"/>
      <c r="E201" s="56"/>
      <c r="F201" s="178"/>
    </row>
    <row r="202" spans="1:6" ht="13.5" hidden="1" customHeight="1" x14ac:dyDescent="0.25">
      <c r="A202" s="38"/>
      <c r="B202" s="56"/>
      <c r="C202" s="56"/>
      <c r="D202" s="56"/>
      <c r="E202" s="56"/>
      <c r="F202" s="178"/>
    </row>
    <row r="203" spans="1:6" ht="13.5" hidden="1" customHeight="1" x14ac:dyDescent="0.25">
      <c r="A203" s="38"/>
      <c r="B203" s="56"/>
      <c r="C203" s="56"/>
      <c r="D203" s="56"/>
      <c r="E203" s="56"/>
      <c r="F203" s="178"/>
    </row>
    <row r="204" spans="1:6" ht="13.5" hidden="1" customHeight="1" x14ac:dyDescent="0.25">
      <c r="A204" s="38"/>
      <c r="B204" s="56"/>
      <c r="C204" s="56"/>
      <c r="D204" s="56"/>
      <c r="E204" s="56"/>
      <c r="F204" s="178"/>
    </row>
    <row r="205" spans="1:6" ht="13.5" hidden="1" customHeight="1" x14ac:dyDescent="0.25">
      <c r="A205" s="38"/>
      <c r="B205" s="56"/>
      <c r="C205" s="56"/>
      <c r="D205" s="56"/>
      <c r="E205" s="56"/>
      <c r="F205" s="178"/>
    </row>
    <row r="206" spans="1:6" ht="13.5" hidden="1" customHeight="1" x14ac:dyDescent="0.25">
      <c r="A206" s="38"/>
      <c r="B206" s="56"/>
      <c r="C206" s="56"/>
      <c r="D206" s="56"/>
      <c r="E206" s="56"/>
      <c r="F206" s="178"/>
    </row>
    <row r="207" spans="1:6" ht="13.5" hidden="1" customHeight="1" x14ac:dyDescent="0.25">
      <c r="A207" s="38"/>
      <c r="B207" s="56"/>
      <c r="C207" s="56"/>
      <c r="D207" s="56"/>
      <c r="E207" s="56"/>
      <c r="F207" s="178"/>
    </row>
    <row r="208" spans="1:6" ht="13.5" hidden="1" customHeight="1" x14ac:dyDescent="0.25">
      <c r="A208" s="38"/>
      <c r="B208" s="56"/>
      <c r="C208" s="56"/>
      <c r="D208" s="56"/>
      <c r="E208" s="56"/>
      <c r="F208" s="178"/>
    </row>
    <row r="209" spans="1:6" ht="13.5" hidden="1" customHeight="1" x14ac:dyDescent="0.25">
      <c r="A209" s="38"/>
      <c r="B209" s="56"/>
      <c r="C209" s="56"/>
      <c r="D209" s="56"/>
      <c r="E209" s="56"/>
      <c r="F209" s="178"/>
    </row>
    <row r="210" spans="1:6" ht="13.5" hidden="1" customHeight="1" x14ac:dyDescent="0.25">
      <c r="A210" s="38"/>
      <c r="B210" s="56"/>
      <c r="C210" s="56"/>
      <c r="D210" s="56"/>
      <c r="E210" s="56"/>
      <c r="F210" s="178"/>
    </row>
    <row r="211" spans="1:6" ht="13.5" hidden="1" customHeight="1" x14ac:dyDescent="0.25">
      <c r="A211" s="38"/>
      <c r="B211" s="56"/>
      <c r="C211" s="56"/>
      <c r="D211" s="56"/>
      <c r="E211" s="56"/>
      <c r="F211" s="178"/>
    </row>
    <row r="212" spans="1:6" ht="13.5" hidden="1" customHeight="1" x14ac:dyDescent="0.25">
      <c r="A212" s="38"/>
      <c r="B212" s="56"/>
      <c r="C212" s="56"/>
      <c r="D212" s="56"/>
      <c r="E212" s="56"/>
      <c r="F212" s="178"/>
    </row>
    <row r="213" spans="1:6" ht="13.5" hidden="1" customHeight="1" x14ac:dyDescent="0.25">
      <c r="A213" s="38"/>
      <c r="B213" s="56"/>
      <c r="C213" s="56"/>
      <c r="D213" s="56"/>
      <c r="E213" s="56"/>
      <c r="F213" s="178"/>
    </row>
    <row r="214" spans="1:6" ht="13.5" hidden="1" customHeight="1" x14ac:dyDescent="0.25">
      <c r="A214" s="38"/>
      <c r="B214" s="56"/>
      <c r="C214" s="56"/>
      <c r="D214" s="56"/>
      <c r="E214" s="56"/>
      <c r="F214" s="178"/>
    </row>
    <row r="215" spans="1:6" ht="13.5" hidden="1" customHeight="1" x14ac:dyDescent="0.25">
      <c r="A215" s="38"/>
      <c r="B215" s="56"/>
      <c r="C215" s="56"/>
      <c r="D215" s="56"/>
      <c r="E215" s="56"/>
      <c r="F215" s="178"/>
    </row>
    <row r="216" spans="1:6" ht="13.5" hidden="1" customHeight="1" x14ac:dyDescent="0.25">
      <c r="A216" s="38"/>
      <c r="B216" s="56"/>
      <c r="C216" s="56"/>
      <c r="D216" s="56"/>
      <c r="E216" s="56"/>
      <c r="F216" s="178"/>
    </row>
    <row r="217" spans="1:6" ht="13.5" hidden="1" customHeight="1" x14ac:dyDescent="0.25">
      <c r="A217" s="38"/>
      <c r="B217" s="56"/>
      <c r="C217" s="56"/>
      <c r="D217" s="56"/>
      <c r="E217" s="56"/>
      <c r="F217" s="178"/>
    </row>
    <row r="218" spans="1:6" ht="13.5" hidden="1" customHeight="1" x14ac:dyDescent="0.25">
      <c r="A218" s="38"/>
      <c r="B218" s="56"/>
      <c r="C218" s="56"/>
      <c r="D218" s="56"/>
      <c r="E218" s="56"/>
      <c r="F218" s="178"/>
    </row>
    <row r="219" spans="1:6" ht="13.5" hidden="1" customHeight="1" x14ac:dyDescent="0.25">
      <c r="A219" s="38"/>
      <c r="B219" s="56"/>
      <c r="C219" s="56"/>
      <c r="D219" s="56"/>
      <c r="E219" s="56"/>
      <c r="F219" s="178"/>
    </row>
    <row r="220" spans="1:6" ht="13.5" hidden="1" customHeight="1" x14ac:dyDescent="0.25">
      <c r="A220" s="38"/>
      <c r="B220" s="56"/>
      <c r="C220" s="56"/>
      <c r="D220" s="56"/>
      <c r="E220" s="56"/>
      <c r="F220" s="178"/>
    </row>
    <row r="221" spans="1:6" ht="13.5" hidden="1" customHeight="1" x14ac:dyDescent="0.25">
      <c r="A221" s="38"/>
      <c r="B221" s="56"/>
      <c r="C221" s="56"/>
      <c r="D221" s="56"/>
      <c r="E221" s="56"/>
      <c r="F221" s="178"/>
    </row>
    <row r="222" spans="1:6" ht="13.5" hidden="1" customHeight="1" x14ac:dyDescent="0.25">
      <c r="A222" s="38"/>
      <c r="B222" s="56"/>
      <c r="C222" s="56"/>
      <c r="D222" s="56"/>
      <c r="E222" s="56"/>
      <c r="F222" s="178"/>
    </row>
    <row r="223" spans="1:6" ht="13.5" hidden="1" customHeight="1" x14ac:dyDescent="0.25">
      <c r="A223" s="38"/>
      <c r="B223" s="56"/>
      <c r="C223" s="56"/>
      <c r="D223" s="56"/>
      <c r="E223" s="56"/>
      <c r="F223" s="178"/>
    </row>
    <row r="224" spans="1:6" ht="13.5" hidden="1" customHeight="1" x14ac:dyDescent="0.25">
      <c r="A224" s="38"/>
      <c r="B224" s="56"/>
      <c r="C224" s="56"/>
      <c r="D224" s="56"/>
      <c r="E224" s="56"/>
      <c r="F224" s="178"/>
    </row>
    <row r="225" spans="1:6" ht="13.5" hidden="1" customHeight="1" x14ac:dyDescent="0.25">
      <c r="A225" s="38"/>
      <c r="B225" s="56"/>
      <c r="C225" s="56"/>
      <c r="D225" s="56"/>
      <c r="E225" s="56"/>
      <c r="F225" s="178"/>
    </row>
    <row r="226" spans="1:6" ht="13.5" hidden="1" customHeight="1" x14ac:dyDescent="0.25">
      <c r="A226" s="38"/>
      <c r="B226" s="56"/>
      <c r="C226" s="56"/>
      <c r="D226" s="56"/>
      <c r="E226" s="56"/>
      <c r="F226" s="178"/>
    </row>
    <row r="227" spans="1:6" ht="13.5" hidden="1" customHeight="1" x14ac:dyDescent="0.25">
      <c r="A227" s="38"/>
      <c r="B227" s="56"/>
      <c r="C227" s="56"/>
      <c r="D227" s="56"/>
      <c r="E227" s="56"/>
      <c r="F227" s="178"/>
    </row>
    <row r="228" spans="1:6" ht="13.5" hidden="1" customHeight="1" x14ac:dyDescent="0.25">
      <c r="A228" s="38"/>
      <c r="B228" s="56"/>
      <c r="C228" s="56"/>
      <c r="D228" s="56"/>
      <c r="E228" s="56"/>
      <c r="F228" s="178"/>
    </row>
    <row r="229" spans="1:6" ht="13.5" hidden="1" customHeight="1" x14ac:dyDescent="0.25">
      <c r="A229" s="38"/>
      <c r="B229" s="56"/>
      <c r="C229" s="56"/>
      <c r="D229" s="56"/>
      <c r="E229" s="56"/>
      <c r="F229" s="178"/>
    </row>
    <row r="230" spans="1:6" ht="13.5" hidden="1" customHeight="1" x14ac:dyDescent="0.25">
      <c r="A230" s="38"/>
      <c r="B230" s="56"/>
      <c r="C230" s="56"/>
      <c r="D230" s="56"/>
      <c r="E230" s="56"/>
      <c r="F230" s="178"/>
    </row>
    <row r="231" spans="1:6" ht="13.5" hidden="1" customHeight="1" x14ac:dyDescent="0.25">
      <c r="A231" s="38"/>
      <c r="B231" s="56"/>
      <c r="C231" s="56"/>
      <c r="D231" s="56"/>
      <c r="E231" s="56"/>
      <c r="F231" s="178"/>
    </row>
    <row r="232" spans="1:6" ht="13.5" hidden="1" customHeight="1" x14ac:dyDescent="0.25">
      <c r="A232" s="38"/>
      <c r="B232" s="56"/>
      <c r="C232" s="56"/>
      <c r="D232" s="56"/>
      <c r="E232" s="56"/>
      <c r="F232" s="178"/>
    </row>
    <row r="233" spans="1:6" ht="13.5" hidden="1" customHeight="1" x14ac:dyDescent="0.25">
      <c r="A233" s="38"/>
      <c r="B233" s="56"/>
      <c r="C233" s="56"/>
      <c r="D233" s="56"/>
      <c r="E233" s="56"/>
      <c r="F233" s="178"/>
    </row>
    <row r="234" spans="1:6" ht="13.5" hidden="1" customHeight="1" x14ac:dyDescent="0.25">
      <c r="A234" s="38"/>
      <c r="B234" s="56"/>
      <c r="C234" s="56"/>
      <c r="D234" s="56"/>
      <c r="E234" s="56"/>
      <c r="F234" s="178"/>
    </row>
    <row r="235" spans="1:6" ht="13.5" hidden="1" customHeight="1" x14ac:dyDescent="0.25">
      <c r="A235" s="38"/>
      <c r="B235" s="56"/>
      <c r="C235" s="56"/>
      <c r="D235" s="56"/>
      <c r="E235" s="56"/>
      <c r="F235" s="178"/>
    </row>
    <row r="236" spans="1:6" ht="13.5" hidden="1" customHeight="1" x14ac:dyDescent="0.25">
      <c r="A236" s="38"/>
      <c r="B236" s="56"/>
      <c r="C236" s="56"/>
      <c r="D236" s="56"/>
      <c r="E236" s="56"/>
      <c r="F236" s="178"/>
    </row>
    <row r="237" spans="1:6" ht="13.5" hidden="1" customHeight="1" x14ac:dyDescent="0.25">
      <c r="A237" s="38"/>
      <c r="B237" s="56"/>
      <c r="C237" s="56"/>
      <c r="D237" s="56"/>
      <c r="E237" s="56"/>
      <c r="F237" s="178"/>
    </row>
    <row r="238" spans="1:6" ht="13.5" hidden="1" customHeight="1" x14ac:dyDescent="0.25">
      <c r="A238" s="38"/>
      <c r="B238" s="56"/>
      <c r="C238" s="56"/>
      <c r="D238" s="56"/>
      <c r="E238" s="56"/>
      <c r="F238" s="178"/>
    </row>
    <row r="239" spans="1:6" ht="13.5" hidden="1" customHeight="1" x14ac:dyDescent="0.25">
      <c r="A239" s="38"/>
      <c r="B239" s="56"/>
      <c r="C239" s="56"/>
      <c r="D239" s="56"/>
      <c r="E239" s="56"/>
      <c r="F239" s="178"/>
    </row>
    <row r="240" spans="1:6" ht="13.5" hidden="1" customHeight="1" x14ac:dyDescent="0.25">
      <c r="A240" s="38"/>
      <c r="B240" s="56"/>
      <c r="C240" s="56"/>
      <c r="D240" s="56"/>
      <c r="E240" s="56"/>
      <c r="F240" s="178"/>
    </row>
    <row r="241" spans="1:6" ht="13.5" hidden="1" customHeight="1" x14ac:dyDescent="0.25">
      <c r="A241" s="38"/>
      <c r="B241" s="56"/>
      <c r="C241" s="56"/>
      <c r="D241" s="56"/>
      <c r="E241" s="56"/>
      <c r="F241" s="178"/>
    </row>
    <row r="242" spans="1:6" ht="13.5" hidden="1" customHeight="1" x14ac:dyDescent="0.25">
      <c r="A242" s="38"/>
      <c r="B242" s="56"/>
      <c r="C242" s="56"/>
      <c r="D242" s="56"/>
      <c r="E242" s="56"/>
      <c r="F242" s="178"/>
    </row>
    <row r="243" spans="1:6" ht="13.5" hidden="1" customHeight="1" x14ac:dyDescent="0.25">
      <c r="A243" s="38"/>
      <c r="B243" s="56"/>
      <c r="C243" s="56"/>
      <c r="D243" s="56"/>
      <c r="E243" s="56"/>
      <c r="F243" s="178"/>
    </row>
    <row r="244" spans="1:6" ht="13.5" hidden="1" customHeight="1" x14ac:dyDescent="0.25">
      <c r="A244" s="38"/>
      <c r="B244" s="56"/>
      <c r="C244" s="56"/>
      <c r="D244" s="56"/>
      <c r="E244" s="56"/>
      <c r="F244" s="178"/>
    </row>
    <row r="245" spans="1:6" ht="13.5" hidden="1" customHeight="1" x14ac:dyDescent="0.25">
      <c r="A245" s="38"/>
      <c r="B245" s="56"/>
      <c r="C245" s="56"/>
      <c r="D245" s="56"/>
      <c r="E245" s="56"/>
      <c r="F245" s="178"/>
    </row>
    <row r="246" spans="1:6" ht="13.5" hidden="1" customHeight="1" x14ac:dyDescent="0.25">
      <c r="A246" s="38"/>
      <c r="B246" s="56"/>
      <c r="C246" s="56"/>
      <c r="D246" s="56"/>
      <c r="E246" s="56"/>
      <c r="F246" s="178"/>
    </row>
    <row r="247" spans="1:6" ht="13.5" hidden="1" customHeight="1" x14ac:dyDescent="0.25">
      <c r="A247" s="38"/>
      <c r="B247" s="56"/>
      <c r="C247" s="56"/>
      <c r="D247" s="56"/>
      <c r="E247" s="56"/>
      <c r="F247" s="178"/>
    </row>
    <row r="248" spans="1:6" ht="13.5" hidden="1" customHeight="1" x14ac:dyDescent="0.25">
      <c r="A248" s="38"/>
      <c r="B248" s="56"/>
      <c r="C248" s="56"/>
      <c r="D248" s="56"/>
      <c r="E248" s="56"/>
      <c r="F248" s="178"/>
    </row>
    <row r="249" spans="1:6" ht="13.5" hidden="1" customHeight="1" x14ac:dyDescent="0.25">
      <c r="A249" s="38"/>
      <c r="B249" s="56"/>
      <c r="C249" s="56"/>
      <c r="D249" s="56"/>
      <c r="E249" s="56"/>
      <c r="F249" s="178"/>
    </row>
    <row r="250" spans="1:6" ht="13.5" hidden="1" customHeight="1" x14ac:dyDescent="0.25">
      <c r="A250" s="38"/>
      <c r="B250" s="56"/>
      <c r="C250" s="56"/>
      <c r="D250" s="56"/>
      <c r="E250" s="56"/>
      <c r="F250" s="178"/>
    </row>
    <row r="251" spans="1:6" ht="13.5" hidden="1" customHeight="1" x14ac:dyDescent="0.25">
      <c r="A251" s="38"/>
      <c r="B251" s="56"/>
      <c r="C251" s="56"/>
      <c r="D251" s="56"/>
      <c r="E251" s="56"/>
      <c r="F251" s="178"/>
    </row>
    <row r="252" spans="1:6" ht="13.5" hidden="1" customHeight="1" x14ac:dyDescent="0.25">
      <c r="A252" s="38"/>
      <c r="B252" s="56"/>
      <c r="C252" s="56"/>
      <c r="D252" s="56"/>
      <c r="E252" s="56"/>
      <c r="F252" s="178"/>
    </row>
    <row r="253" spans="1:6" ht="13.5" hidden="1" customHeight="1" x14ac:dyDescent="0.25">
      <c r="A253" s="38"/>
      <c r="B253" s="56"/>
      <c r="C253" s="56"/>
      <c r="D253" s="56"/>
      <c r="E253" s="56"/>
      <c r="F253" s="178"/>
    </row>
    <row r="254" spans="1:6" ht="13.5" hidden="1" customHeight="1" x14ac:dyDescent="0.25">
      <c r="A254" s="38"/>
      <c r="B254" s="56"/>
      <c r="C254" s="56"/>
      <c r="D254" s="56"/>
      <c r="E254" s="56"/>
      <c r="F254" s="178"/>
    </row>
    <row r="255" spans="1:6" ht="13.5" hidden="1" customHeight="1" x14ac:dyDescent="0.25">
      <c r="A255" s="38"/>
      <c r="B255" s="56"/>
      <c r="C255" s="56"/>
      <c r="D255" s="56"/>
      <c r="E255" s="56"/>
      <c r="F255" s="178"/>
    </row>
    <row r="256" spans="1:6" ht="13.5" hidden="1" customHeight="1" x14ac:dyDescent="0.25">
      <c r="A256" s="38"/>
      <c r="B256" s="56"/>
      <c r="C256" s="56"/>
      <c r="D256" s="56"/>
      <c r="E256" s="56"/>
      <c r="F256" s="178"/>
    </row>
    <row r="257" spans="1:6" ht="13.5" hidden="1" customHeight="1" x14ac:dyDescent="0.25">
      <c r="A257" s="38"/>
      <c r="B257" s="56"/>
      <c r="C257" s="56"/>
      <c r="D257" s="56"/>
      <c r="E257" s="56"/>
      <c r="F257" s="178"/>
    </row>
    <row r="258" spans="1:6" ht="13.5" hidden="1" customHeight="1" x14ac:dyDescent="0.25">
      <c r="A258" s="38"/>
      <c r="B258" s="56"/>
      <c r="C258" s="56"/>
      <c r="D258" s="56"/>
      <c r="E258" s="56"/>
      <c r="F258" s="178"/>
    </row>
    <row r="259" spans="1:6" ht="13.5" hidden="1" customHeight="1" x14ac:dyDescent="0.25">
      <c r="A259" s="38"/>
      <c r="B259" s="56"/>
      <c r="C259" s="56"/>
      <c r="D259" s="56"/>
      <c r="E259" s="56"/>
      <c r="F259" s="178"/>
    </row>
    <row r="260" spans="1:6" ht="13.5" hidden="1" customHeight="1" x14ac:dyDescent="0.25">
      <c r="A260" s="38"/>
      <c r="B260" s="56"/>
      <c r="C260" s="56"/>
      <c r="D260" s="56"/>
      <c r="E260" s="56"/>
      <c r="F260" s="178"/>
    </row>
    <row r="261" spans="1:6" ht="13.5" hidden="1" customHeight="1" x14ac:dyDescent="0.25">
      <c r="A261" s="38"/>
      <c r="B261" s="56"/>
      <c r="C261" s="56"/>
      <c r="D261" s="56"/>
      <c r="E261" s="56"/>
      <c r="F261" s="178"/>
    </row>
    <row r="262" spans="1:6" ht="13.5" hidden="1" customHeight="1" x14ac:dyDescent="0.25">
      <c r="A262" s="38"/>
      <c r="B262" s="56"/>
      <c r="C262" s="56"/>
      <c r="D262" s="56"/>
      <c r="E262" s="56"/>
      <c r="F262" s="178"/>
    </row>
    <row r="263" spans="1:6" ht="13.5" hidden="1" customHeight="1" x14ac:dyDescent="0.25">
      <c r="A263" s="38"/>
      <c r="B263" s="56"/>
      <c r="C263" s="56"/>
      <c r="D263" s="56"/>
      <c r="E263" s="56"/>
      <c r="F263" s="178"/>
    </row>
    <row r="264" spans="1:6" ht="13.5" hidden="1" customHeight="1" x14ac:dyDescent="0.25">
      <c r="A264" s="38"/>
      <c r="B264" s="56"/>
      <c r="C264" s="56"/>
      <c r="D264" s="56"/>
      <c r="E264" s="56"/>
      <c r="F264" s="178"/>
    </row>
    <row r="265" spans="1:6" ht="13.5" hidden="1" customHeight="1" x14ac:dyDescent="0.25">
      <c r="A265" s="38"/>
      <c r="B265" s="56"/>
      <c r="C265" s="56"/>
      <c r="D265" s="56"/>
      <c r="E265" s="56"/>
      <c r="F265" s="178"/>
    </row>
    <row r="266" spans="1:6" ht="13.5" hidden="1" customHeight="1" x14ac:dyDescent="0.25">
      <c r="A266" s="38"/>
      <c r="B266" s="56"/>
      <c r="C266" s="56"/>
      <c r="D266" s="56"/>
      <c r="E266" s="56"/>
      <c r="F266" s="178"/>
    </row>
    <row r="267" spans="1:6" ht="13.5" hidden="1" customHeight="1" x14ac:dyDescent="0.25">
      <c r="A267" s="38"/>
      <c r="B267" s="56"/>
      <c r="C267" s="56"/>
      <c r="D267" s="56"/>
      <c r="E267" s="56"/>
      <c r="F267" s="178"/>
    </row>
    <row r="268" spans="1:6" ht="13.5" hidden="1" customHeight="1" x14ac:dyDescent="0.25">
      <c r="A268" s="38"/>
      <c r="B268" s="56"/>
      <c r="C268" s="56"/>
      <c r="D268" s="56"/>
      <c r="E268" s="56"/>
      <c r="F268" s="178"/>
    </row>
    <row r="269" spans="1:6" ht="13.5" hidden="1" customHeight="1" x14ac:dyDescent="0.25">
      <c r="A269" s="38"/>
      <c r="B269" s="56"/>
      <c r="C269" s="56"/>
      <c r="D269" s="56"/>
      <c r="E269" s="56"/>
      <c r="F269" s="178"/>
    </row>
    <row r="270" spans="1:6" ht="13.5" hidden="1" customHeight="1" x14ac:dyDescent="0.25">
      <c r="A270" s="38"/>
      <c r="B270" s="56"/>
      <c r="C270" s="56"/>
      <c r="D270" s="56"/>
      <c r="E270" s="56"/>
      <c r="F270" s="178"/>
    </row>
    <row r="271" spans="1:6" ht="13.5" hidden="1" customHeight="1" x14ac:dyDescent="0.25">
      <c r="A271" s="38"/>
      <c r="B271" s="56"/>
      <c r="C271" s="56"/>
      <c r="D271" s="56"/>
      <c r="E271" s="56"/>
      <c r="F271" s="178"/>
    </row>
    <row r="272" spans="1:6" ht="13.5" hidden="1" customHeight="1" x14ac:dyDescent="0.25">
      <c r="A272" s="38"/>
      <c r="B272" s="56"/>
      <c r="C272" s="56"/>
      <c r="D272" s="56"/>
      <c r="E272" s="56"/>
      <c r="F272" s="178"/>
    </row>
    <row r="273" spans="1:6" ht="13.5" hidden="1" customHeight="1" x14ac:dyDescent="0.25">
      <c r="A273" s="38"/>
      <c r="B273" s="56"/>
      <c r="C273" s="56"/>
      <c r="D273" s="56"/>
      <c r="E273" s="56"/>
      <c r="F273" s="178"/>
    </row>
    <row r="274" spans="1:6" ht="13.5" hidden="1" customHeight="1" x14ac:dyDescent="0.25">
      <c r="A274" s="38"/>
      <c r="B274" s="56"/>
      <c r="C274" s="56"/>
      <c r="D274" s="56"/>
      <c r="E274" s="56"/>
      <c r="F274" s="178"/>
    </row>
    <row r="275" spans="1:6" ht="13.5" hidden="1" customHeight="1" x14ac:dyDescent="0.25">
      <c r="A275" s="38"/>
      <c r="B275" s="56"/>
      <c r="C275" s="56"/>
      <c r="D275" s="56"/>
      <c r="E275" s="56"/>
      <c r="F275" s="178"/>
    </row>
    <row r="276" spans="1:6" ht="13.5" hidden="1" customHeight="1" x14ac:dyDescent="0.25">
      <c r="A276" s="38"/>
      <c r="B276" s="56"/>
      <c r="C276" s="56"/>
      <c r="D276" s="56"/>
      <c r="E276" s="56"/>
      <c r="F276" s="178"/>
    </row>
    <row r="277" spans="1:6" ht="13.5" hidden="1" customHeight="1" x14ac:dyDescent="0.25">
      <c r="A277" s="38"/>
      <c r="B277" s="56"/>
      <c r="C277" s="56"/>
      <c r="D277" s="56"/>
      <c r="E277" s="56"/>
      <c r="F277" s="178"/>
    </row>
    <row r="278" spans="1:6" ht="13.5" hidden="1" customHeight="1" x14ac:dyDescent="0.25">
      <c r="A278" s="38"/>
      <c r="B278" s="56"/>
      <c r="C278" s="56"/>
      <c r="D278" s="56"/>
      <c r="E278" s="56"/>
      <c r="F278" s="178"/>
    </row>
    <row r="279" spans="1:6" ht="13.5" hidden="1" customHeight="1" x14ac:dyDescent="0.25">
      <c r="A279" s="38"/>
      <c r="B279" s="56"/>
      <c r="C279" s="56"/>
      <c r="D279" s="56"/>
      <c r="E279" s="56"/>
      <c r="F279" s="178"/>
    </row>
    <row r="280" spans="1:6" ht="13.5" hidden="1" customHeight="1" x14ac:dyDescent="0.25">
      <c r="A280" s="38"/>
      <c r="B280" s="56"/>
      <c r="C280" s="56"/>
      <c r="D280" s="56"/>
      <c r="E280" s="56"/>
      <c r="F280" s="178"/>
    </row>
    <row r="281" spans="1:6" ht="13.5" hidden="1" customHeight="1" x14ac:dyDescent="0.25">
      <c r="A281" s="38"/>
      <c r="B281" s="56"/>
      <c r="C281" s="56"/>
      <c r="D281" s="56"/>
      <c r="E281" s="56"/>
      <c r="F281" s="178"/>
    </row>
    <row r="282" spans="1:6" ht="13.5" hidden="1" customHeight="1" x14ac:dyDescent="0.25">
      <c r="A282" s="38"/>
      <c r="B282" s="56"/>
      <c r="C282" s="56"/>
      <c r="D282" s="56"/>
      <c r="E282" s="56"/>
      <c r="F282" s="178"/>
    </row>
    <row r="283" spans="1:6" ht="13.5" hidden="1" customHeight="1" x14ac:dyDescent="0.25">
      <c r="A283" s="38"/>
      <c r="B283" s="56"/>
      <c r="C283" s="56"/>
      <c r="D283" s="56"/>
      <c r="E283" s="56"/>
      <c r="F283" s="178"/>
    </row>
    <row r="284" spans="1:6" ht="13.5" hidden="1" customHeight="1" x14ac:dyDescent="0.25">
      <c r="A284" s="38"/>
      <c r="B284" s="56"/>
      <c r="C284" s="56"/>
      <c r="D284" s="56"/>
      <c r="E284" s="56"/>
      <c r="F284" s="178"/>
    </row>
    <row r="285" spans="1:6" ht="13.5" hidden="1" customHeight="1" x14ac:dyDescent="0.25">
      <c r="A285" s="38"/>
      <c r="B285" s="56"/>
      <c r="C285" s="56"/>
      <c r="D285" s="56"/>
      <c r="E285" s="56"/>
      <c r="F285" s="178"/>
    </row>
    <row r="286" spans="1:6" ht="13.5" hidden="1" customHeight="1" x14ac:dyDescent="0.25">
      <c r="A286" s="38"/>
      <c r="B286" s="56"/>
      <c r="C286" s="56"/>
      <c r="D286" s="56"/>
      <c r="E286" s="56"/>
      <c r="F286" s="178"/>
    </row>
    <row r="287" spans="1:6" ht="13.5" hidden="1" customHeight="1" x14ac:dyDescent="0.25">
      <c r="A287" s="38"/>
      <c r="B287" s="56"/>
      <c r="C287" s="56"/>
      <c r="D287" s="56"/>
      <c r="E287" s="56"/>
      <c r="F287" s="178"/>
    </row>
    <row r="288" spans="1:6" ht="13.5" hidden="1" customHeight="1" x14ac:dyDescent="0.25">
      <c r="A288" s="38"/>
      <c r="B288" s="56"/>
      <c r="C288" s="56"/>
      <c r="D288" s="56"/>
      <c r="E288" s="56"/>
      <c r="F288" s="178"/>
    </row>
    <row r="289" spans="1:6" ht="13.5" hidden="1" customHeight="1" x14ac:dyDescent="0.25">
      <c r="A289" s="38"/>
      <c r="B289" s="56"/>
      <c r="C289" s="56"/>
      <c r="D289" s="56"/>
      <c r="E289" s="56"/>
      <c r="F289" s="178"/>
    </row>
    <row r="290" spans="1:6" ht="13.5" hidden="1" customHeight="1" x14ac:dyDescent="0.25">
      <c r="A290" s="38"/>
      <c r="B290" s="56"/>
      <c r="C290" s="56"/>
      <c r="D290" s="56"/>
      <c r="E290" s="56"/>
      <c r="F290" s="178"/>
    </row>
    <row r="291" spans="1:6" ht="13.5" hidden="1" customHeight="1" x14ac:dyDescent="0.25">
      <c r="A291" s="38"/>
      <c r="B291" s="56"/>
      <c r="C291" s="56"/>
      <c r="D291" s="56"/>
      <c r="E291" s="56"/>
      <c r="F291" s="178"/>
    </row>
    <row r="292" spans="1:6" ht="13.5" hidden="1" customHeight="1" x14ac:dyDescent="0.25">
      <c r="A292" s="38"/>
      <c r="B292" s="56"/>
      <c r="C292" s="56"/>
      <c r="D292" s="56"/>
      <c r="E292" s="56"/>
      <c r="F292" s="178"/>
    </row>
    <row r="293" spans="1:6" ht="13.5" hidden="1" customHeight="1" x14ac:dyDescent="0.25">
      <c r="A293" s="38"/>
      <c r="B293" s="56"/>
      <c r="C293" s="56"/>
      <c r="D293" s="56"/>
      <c r="E293" s="56"/>
      <c r="F293" s="178"/>
    </row>
    <row r="294" spans="1:6" ht="13.5" hidden="1" customHeight="1" x14ac:dyDescent="0.25">
      <c r="A294" s="38"/>
      <c r="B294" s="56"/>
      <c r="C294" s="56"/>
      <c r="D294" s="56"/>
      <c r="E294" s="56"/>
      <c r="F294" s="178"/>
    </row>
    <row r="295" spans="1:6" ht="13.5" hidden="1" customHeight="1" x14ac:dyDescent="0.25">
      <c r="A295" s="38"/>
      <c r="B295" s="56"/>
      <c r="C295" s="56"/>
      <c r="D295" s="56"/>
      <c r="E295" s="56"/>
      <c r="F295" s="178"/>
    </row>
    <row r="296" spans="1:6" ht="13.5" hidden="1" customHeight="1" x14ac:dyDescent="0.25">
      <c r="A296" s="38"/>
      <c r="B296" s="56"/>
      <c r="C296" s="56"/>
      <c r="D296" s="56"/>
      <c r="E296" s="56"/>
      <c r="F296" s="178"/>
    </row>
    <row r="297" spans="1:6" ht="13.5" hidden="1" customHeight="1" x14ac:dyDescent="0.25">
      <c r="A297" s="38"/>
      <c r="B297" s="56"/>
      <c r="C297" s="56"/>
      <c r="D297" s="56"/>
      <c r="E297" s="56"/>
      <c r="F297" s="178"/>
    </row>
    <row r="298" spans="1:6" ht="13.5" hidden="1" customHeight="1" x14ac:dyDescent="0.25">
      <c r="A298" s="38"/>
      <c r="B298" s="56"/>
      <c r="C298" s="56"/>
      <c r="D298" s="56"/>
      <c r="E298" s="56"/>
      <c r="F298" s="178"/>
    </row>
    <row r="299" spans="1:6" ht="13.5" hidden="1" customHeight="1" x14ac:dyDescent="0.25">
      <c r="A299" s="38"/>
      <c r="B299" s="56"/>
      <c r="C299" s="56"/>
      <c r="D299" s="56"/>
      <c r="E299" s="56"/>
      <c r="F299" s="178"/>
    </row>
    <row r="300" spans="1:6" ht="13.5" hidden="1" customHeight="1" x14ac:dyDescent="0.25">
      <c r="A300" s="38"/>
      <c r="B300" s="56"/>
      <c r="C300" s="56"/>
      <c r="D300" s="56"/>
      <c r="E300" s="56"/>
      <c r="F300" s="178"/>
    </row>
    <row r="301" spans="1:6" ht="13.5" hidden="1" customHeight="1" x14ac:dyDescent="0.25">
      <c r="A301" s="38"/>
      <c r="B301" s="56"/>
      <c r="C301" s="56"/>
      <c r="D301" s="56"/>
      <c r="E301" s="56"/>
      <c r="F301" s="178"/>
    </row>
    <row r="302" spans="1:6" ht="13.5" hidden="1" customHeight="1" x14ac:dyDescent="0.25">
      <c r="A302" s="38"/>
      <c r="B302" s="56"/>
      <c r="C302" s="56"/>
      <c r="D302" s="56"/>
      <c r="E302" s="56"/>
      <c r="F302" s="178"/>
    </row>
    <row r="303" spans="1:6" ht="13.5" hidden="1" customHeight="1" x14ac:dyDescent="0.25">
      <c r="A303" s="38"/>
      <c r="B303" s="56"/>
      <c r="C303" s="56"/>
      <c r="D303" s="56"/>
      <c r="E303" s="56"/>
      <c r="F303" s="178"/>
    </row>
    <row r="304" spans="1:6" ht="13.5" hidden="1" customHeight="1" x14ac:dyDescent="0.25">
      <c r="A304" s="38"/>
      <c r="B304" s="56"/>
      <c r="C304" s="56"/>
      <c r="D304" s="56"/>
      <c r="E304" s="56"/>
      <c r="F304" s="178"/>
    </row>
    <row r="305" spans="1:6" ht="13.5" hidden="1" customHeight="1" x14ac:dyDescent="0.25">
      <c r="A305" s="38"/>
      <c r="B305" s="56"/>
      <c r="C305" s="56"/>
      <c r="D305" s="56"/>
      <c r="E305" s="56"/>
      <c r="F305" s="178"/>
    </row>
    <row r="306" spans="1:6" ht="13.5" hidden="1" customHeight="1" x14ac:dyDescent="0.25">
      <c r="A306" s="38"/>
      <c r="B306" s="56"/>
      <c r="C306" s="56"/>
      <c r="D306" s="56"/>
      <c r="E306" s="56"/>
      <c r="F306" s="178"/>
    </row>
    <row r="307" spans="1:6" ht="13.5" hidden="1" customHeight="1" x14ac:dyDescent="0.25">
      <c r="A307" s="38"/>
      <c r="B307" s="56"/>
      <c r="C307" s="56"/>
      <c r="D307" s="56"/>
      <c r="E307" s="56"/>
      <c r="F307" s="178"/>
    </row>
    <row r="308" spans="1:6" ht="13.5" hidden="1" customHeight="1" x14ac:dyDescent="0.25">
      <c r="A308" s="38"/>
      <c r="B308" s="56"/>
      <c r="C308" s="56"/>
      <c r="D308" s="56"/>
      <c r="E308" s="56"/>
      <c r="F308" s="178"/>
    </row>
    <row r="309" spans="1:6" ht="13.5" hidden="1" customHeight="1" x14ac:dyDescent="0.25">
      <c r="A309" s="38"/>
      <c r="B309" s="56"/>
      <c r="C309" s="56"/>
      <c r="D309" s="56"/>
      <c r="E309" s="56"/>
      <c r="F309" s="178"/>
    </row>
    <row r="310" spans="1:6" ht="13.5" hidden="1" customHeight="1" x14ac:dyDescent="0.25">
      <c r="A310" s="38"/>
      <c r="B310" s="56"/>
      <c r="C310" s="56"/>
      <c r="D310" s="56"/>
      <c r="E310" s="56"/>
      <c r="F310" s="178"/>
    </row>
    <row r="311" spans="1:6" ht="13.5" hidden="1" customHeight="1" x14ac:dyDescent="0.25">
      <c r="A311" s="38"/>
      <c r="B311" s="56"/>
      <c r="C311" s="56"/>
      <c r="D311" s="56"/>
      <c r="E311" s="56"/>
      <c r="F311" s="178"/>
    </row>
    <row r="312" spans="1:6" ht="13.5" hidden="1" customHeight="1" x14ac:dyDescent="0.25">
      <c r="A312" s="38"/>
      <c r="B312" s="56"/>
      <c r="C312" s="56"/>
      <c r="D312" s="56"/>
      <c r="E312" s="56"/>
      <c r="F312" s="178"/>
    </row>
    <row r="313" spans="1:6" ht="13.5" hidden="1" customHeight="1" x14ac:dyDescent="0.25">
      <c r="A313" s="38"/>
      <c r="B313" s="56"/>
      <c r="C313" s="56"/>
      <c r="D313" s="56"/>
      <c r="E313" s="56"/>
      <c r="F313" s="178"/>
    </row>
    <row r="314" spans="1:6" ht="13.5" hidden="1" customHeight="1" x14ac:dyDescent="0.25">
      <c r="A314" s="38"/>
      <c r="B314" s="56"/>
      <c r="C314" s="56"/>
      <c r="D314" s="56"/>
      <c r="E314" s="56"/>
      <c r="F314" s="178"/>
    </row>
    <row r="315" spans="1:6" ht="13.5" hidden="1" customHeight="1" x14ac:dyDescent="0.25">
      <c r="A315" s="38"/>
      <c r="B315" s="56"/>
      <c r="C315" s="56"/>
      <c r="D315" s="56"/>
      <c r="E315" s="56"/>
      <c r="F315" s="178"/>
    </row>
    <row r="316" spans="1:6" ht="13.5" hidden="1" customHeight="1" x14ac:dyDescent="0.25">
      <c r="A316" s="38"/>
      <c r="B316" s="56"/>
      <c r="C316" s="56"/>
      <c r="D316" s="56"/>
      <c r="E316" s="56"/>
      <c r="F316" s="178"/>
    </row>
    <row r="317" spans="1:6" ht="13.5" hidden="1" customHeight="1" x14ac:dyDescent="0.25">
      <c r="A317" s="38"/>
      <c r="B317" s="56"/>
      <c r="C317" s="56"/>
      <c r="D317" s="56"/>
      <c r="E317" s="56"/>
      <c r="F317" s="178"/>
    </row>
    <row r="318" spans="1:6" ht="13.5" hidden="1" customHeight="1" x14ac:dyDescent="0.25">
      <c r="A318" s="38"/>
      <c r="B318" s="56"/>
      <c r="C318" s="56"/>
      <c r="D318" s="56"/>
      <c r="E318" s="56"/>
      <c r="F318" s="178"/>
    </row>
    <row r="319" spans="1:6" ht="13.5" hidden="1" customHeight="1" x14ac:dyDescent="0.25">
      <c r="A319" s="38"/>
      <c r="B319" s="56"/>
      <c r="C319" s="56"/>
      <c r="D319" s="56"/>
      <c r="E319" s="56"/>
      <c r="F319" s="178"/>
    </row>
    <row r="320" spans="1:6" ht="13.5" hidden="1" customHeight="1" x14ac:dyDescent="0.25">
      <c r="A320" s="38"/>
      <c r="B320" s="56"/>
      <c r="C320" s="56"/>
      <c r="D320" s="56"/>
      <c r="E320" s="56"/>
      <c r="F320" s="178"/>
    </row>
    <row r="321" spans="1:6" ht="13.5" hidden="1" customHeight="1" x14ac:dyDescent="0.25">
      <c r="A321" s="38"/>
      <c r="B321" s="56"/>
      <c r="C321" s="56"/>
      <c r="D321" s="56"/>
      <c r="E321" s="56"/>
      <c r="F321" s="178"/>
    </row>
    <row r="322" spans="1:6" ht="13.5" hidden="1" customHeight="1" x14ac:dyDescent="0.25">
      <c r="A322" s="38"/>
      <c r="B322" s="56"/>
      <c r="C322" s="56"/>
      <c r="D322" s="56"/>
      <c r="E322" s="56"/>
      <c r="F322" s="178"/>
    </row>
    <row r="323" spans="1:6" ht="13.5" hidden="1" customHeight="1" x14ac:dyDescent="0.25">
      <c r="A323" s="38"/>
      <c r="B323" s="56"/>
      <c r="C323" s="56"/>
      <c r="D323" s="56"/>
      <c r="E323" s="56"/>
      <c r="F323" s="178"/>
    </row>
    <row r="324" spans="1:6" ht="13.5" hidden="1" customHeight="1" x14ac:dyDescent="0.25">
      <c r="A324" s="38"/>
      <c r="B324" s="56"/>
      <c r="C324" s="56"/>
      <c r="D324" s="56"/>
      <c r="E324" s="56"/>
      <c r="F324" s="178"/>
    </row>
    <row r="325" spans="1:6" ht="13.5" hidden="1" customHeight="1" x14ac:dyDescent="0.25">
      <c r="A325" s="38"/>
      <c r="B325" s="56"/>
      <c r="C325" s="56"/>
      <c r="D325" s="56"/>
      <c r="E325" s="56"/>
      <c r="F325" s="178"/>
    </row>
    <row r="326" spans="1:6" ht="13.5" hidden="1" customHeight="1" x14ac:dyDescent="0.25">
      <c r="A326" s="38"/>
      <c r="B326" s="56"/>
      <c r="C326" s="56"/>
      <c r="D326" s="56"/>
      <c r="E326" s="56"/>
      <c r="F326" s="178"/>
    </row>
    <row r="327" spans="1:6" ht="13.5" hidden="1" customHeight="1" x14ac:dyDescent="0.25">
      <c r="A327" s="38"/>
      <c r="B327" s="56"/>
      <c r="C327" s="56"/>
      <c r="D327" s="56"/>
      <c r="E327" s="56"/>
      <c r="F327" s="178"/>
    </row>
    <row r="328" spans="1:6" ht="13.5" hidden="1" customHeight="1" x14ac:dyDescent="0.25">
      <c r="A328" s="38"/>
      <c r="B328" s="56"/>
      <c r="C328" s="56"/>
      <c r="D328" s="56"/>
      <c r="E328" s="56"/>
      <c r="F328" s="178"/>
    </row>
    <row r="329" spans="1:6" ht="13.5" hidden="1" customHeight="1" x14ac:dyDescent="0.25">
      <c r="A329" s="38"/>
      <c r="B329" s="56"/>
      <c r="C329" s="56"/>
      <c r="D329" s="56"/>
      <c r="E329" s="56"/>
      <c r="F329" s="178"/>
    </row>
    <row r="330" spans="1:6" ht="13.5" hidden="1" customHeight="1" x14ac:dyDescent="0.25">
      <c r="A330" s="38"/>
      <c r="B330" s="56"/>
      <c r="C330" s="56"/>
      <c r="D330" s="56"/>
      <c r="E330" s="56"/>
      <c r="F330" s="178"/>
    </row>
    <row r="331" spans="1:6" ht="13.5" hidden="1" customHeight="1" x14ac:dyDescent="0.25">
      <c r="A331" s="38"/>
      <c r="B331" s="56"/>
      <c r="C331" s="56"/>
      <c r="D331" s="56"/>
      <c r="E331" s="56"/>
      <c r="F331" s="178"/>
    </row>
    <row r="332" spans="1:6" ht="13.5" hidden="1" customHeight="1" x14ac:dyDescent="0.25">
      <c r="A332" s="38"/>
      <c r="B332" s="56"/>
      <c r="C332" s="56"/>
      <c r="D332" s="56"/>
      <c r="E332" s="56"/>
      <c r="F332" s="178"/>
    </row>
    <row r="333" spans="1:6" ht="13.5" hidden="1" customHeight="1" x14ac:dyDescent="0.25">
      <c r="A333" s="38"/>
      <c r="B333" s="56"/>
      <c r="C333" s="56"/>
      <c r="D333" s="56"/>
      <c r="E333" s="56"/>
      <c r="F333" s="178"/>
    </row>
    <row r="334" spans="1:6" ht="13.5" hidden="1" customHeight="1" x14ac:dyDescent="0.25">
      <c r="A334" s="38"/>
      <c r="B334" s="56"/>
      <c r="C334" s="56"/>
      <c r="D334" s="56"/>
      <c r="E334" s="56"/>
      <c r="F334" s="178"/>
    </row>
    <row r="335" spans="1:6" ht="13.5" hidden="1" customHeight="1" x14ac:dyDescent="0.25">
      <c r="A335" s="38"/>
      <c r="B335" s="56"/>
      <c r="C335" s="56"/>
      <c r="D335" s="56"/>
      <c r="E335" s="56"/>
      <c r="F335" s="178"/>
    </row>
    <row r="336" spans="1:6" ht="13.5" hidden="1" customHeight="1" x14ac:dyDescent="0.25">
      <c r="A336" s="38"/>
      <c r="B336" s="56"/>
      <c r="C336" s="56"/>
      <c r="D336" s="56"/>
      <c r="E336" s="56"/>
      <c r="F336" s="178"/>
    </row>
    <row r="337" spans="1:6" ht="13.5" hidden="1" customHeight="1" x14ac:dyDescent="0.25">
      <c r="A337" s="38"/>
      <c r="B337" s="56"/>
      <c r="C337" s="56"/>
      <c r="D337" s="56"/>
      <c r="E337" s="56"/>
      <c r="F337" s="178"/>
    </row>
    <row r="338" spans="1:6" ht="13.5" hidden="1" customHeight="1" x14ac:dyDescent="0.25">
      <c r="A338" s="38"/>
      <c r="B338" s="56"/>
      <c r="C338" s="56"/>
      <c r="D338" s="56"/>
      <c r="E338" s="56"/>
      <c r="F338" s="178"/>
    </row>
    <row r="339" spans="1:6" ht="13.5" hidden="1" customHeight="1" x14ac:dyDescent="0.25">
      <c r="A339" s="38"/>
      <c r="B339" s="56"/>
      <c r="C339" s="56"/>
      <c r="D339" s="56"/>
      <c r="E339" s="56"/>
      <c r="F339" s="178"/>
    </row>
    <row r="340" spans="1:6" ht="13.5" hidden="1" customHeight="1" x14ac:dyDescent="0.25">
      <c r="A340" s="38"/>
      <c r="B340" s="56"/>
      <c r="C340" s="56"/>
      <c r="D340" s="56"/>
      <c r="E340" s="56"/>
      <c r="F340" s="178"/>
    </row>
    <row r="341" spans="1:6" ht="13.5" hidden="1" customHeight="1" x14ac:dyDescent="0.25">
      <c r="A341" s="38"/>
      <c r="B341" s="56"/>
      <c r="C341" s="56"/>
      <c r="D341" s="56"/>
      <c r="E341" s="56"/>
      <c r="F341" s="178"/>
    </row>
    <row r="342" spans="1:6" ht="13.5" hidden="1" customHeight="1" x14ac:dyDescent="0.25">
      <c r="A342" s="38"/>
      <c r="B342" s="56"/>
      <c r="C342" s="56"/>
      <c r="D342" s="56"/>
      <c r="E342" s="56"/>
      <c r="F342" s="178"/>
    </row>
    <row r="343" spans="1:6" ht="13.5" hidden="1" customHeight="1" x14ac:dyDescent="0.25">
      <c r="A343" s="38"/>
      <c r="B343" s="56"/>
      <c r="C343" s="56"/>
      <c r="D343" s="56"/>
      <c r="E343" s="56"/>
      <c r="F343" s="178"/>
    </row>
    <row r="344" spans="1:6" ht="13.5" hidden="1" customHeight="1" x14ac:dyDescent="0.25">
      <c r="A344" s="38"/>
      <c r="B344" s="56"/>
      <c r="C344" s="56"/>
      <c r="D344" s="56"/>
      <c r="E344" s="56"/>
      <c r="F344" s="178"/>
    </row>
    <row r="345" spans="1:6" ht="13.5" hidden="1" customHeight="1" x14ac:dyDescent="0.25">
      <c r="A345" s="38"/>
      <c r="B345" s="56"/>
      <c r="C345" s="56"/>
      <c r="D345" s="56"/>
      <c r="E345" s="56"/>
      <c r="F345" s="178"/>
    </row>
    <row r="346" spans="1:6" ht="13.5" hidden="1" customHeight="1" x14ac:dyDescent="0.25">
      <c r="A346" s="38"/>
      <c r="B346" s="56"/>
      <c r="C346" s="56"/>
      <c r="D346" s="56"/>
      <c r="E346" s="56"/>
      <c r="F346" s="178"/>
    </row>
    <row r="347" spans="1:6" ht="13.5" hidden="1" customHeight="1" x14ac:dyDescent="0.25">
      <c r="A347" s="38"/>
      <c r="B347" s="56"/>
      <c r="C347" s="56"/>
      <c r="D347" s="56"/>
      <c r="E347" s="56"/>
      <c r="F347" s="178"/>
    </row>
    <row r="348" spans="1:6" ht="13.5" hidden="1" customHeight="1" x14ac:dyDescent="0.25">
      <c r="A348" s="38"/>
      <c r="B348" s="56"/>
      <c r="C348" s="56"/>
      <c r="D348" s="56"/>
      <c r="E348" s="56"/>
      <c r="F348" s="178"/>
    </row>
    <row r="349" spans="1:6" ht="13.5" hidden="1" customHeight="1" x14ac:dyDescent="0.25">
      <c r="A349" s="38"/>
      <c r="B349" s="56"/>
      <c r="C349" s="56"/>
      <c r="D349" s="56"/>
      <c r="E349" s="56"/>
      <c r="F349" s="178"/>
    </row>
    <row r="350" spans="1:6" ht="13.5" hidden="1" customHeight="1" x14ac:dyDescent="0.25">
      <c r="A350" s="38"/>
      <c r="B350" s="56"/>
      <c r="C350" s="56"/>
      <c r="D350" s="56"/>
      <c r="E350" s="56"/>
      <c r="F350" s="178"/>
    </row>
    <row r="351" spans="1:6" ht="13.5" hidden="1" customHeight="1" x14ac:dyDescent="0.25">
      <c r="A351" s="38"/>
      <c r="B351" s="56"/>
      <c r="C351" s="56"/>
      <c r="D351" s="56"/>
      <c r="E351" s="56"/>
      <c r="F351" s="178"/>
    </row>
    <row r="352" spans="1:6" ht="13.5" hidden="1" customHeight="1" x14ac:dyDescent="0.25">
      <c r="A352" s="38"/>
      <c r="B352" s="56"/>
      <c r="C352" s="56"/>
      <c r="D352" s="56"/>
      <c r="E352" s="56"/>
      <c r="F352" s="178"/>
    </row>
    <row r="353" spans="1:6" ht="13.5" hidden="1" customHeight="1" x14ac:dyDescent="0.25">
      <c r="A353" s="38"/>
      <c r="B353" s="56"/>
      <c r="C353" s="56"/>
      <c r="D353" s="56"/>
      <c r="E353" s="56"/>
      <c r="F353" s="178"/>
    </row>
    <row r="354" spans="1:6" ht="13.5" hidden="1" customHeight="1" x14ac:dyDescent="0.25">
      <c r="A354" s="38"/>
      <c r="B354" s="56"/>
      <c r="C354" s="56"/>
      <c r="D354" s="56"/>
      <c r="E354" s="56"/>
      <c r="F354" s="178"/>
    </row>
    <row r="355" spans="1:6" ht="13.5" hidden="1" customHeight="1" x14ac:dyDescent="0.25">
      <c r="A355" s="38"/>
      <c r="B355" s="56"/>
      <c r="C355" s="56"/>
      <c r="D355" s="56"/>
      <c r="E355" s="56"/>
      <c r="F355" s="178"/>
    </row>
    <row r="356" spans="1:6" ht="13.5" hidden="1" customHeight="1" x14ac:dyDescent="0.25">
      <c r="A356" s="38"/>
      <c r="B356" s="56"/>
      <c r="C356" s="56"/>
      <c r="D356" s="56"/>
      <c r="E356" s="56"/>
      <c r="F356" s="178"/>
    </row>
    <row r="357" spans="1:6" ht="13.5" hidden="1" customHeight="1" x14ac:dyDescent="0.25">
      <c r="A357" s="38"/>
      <c r="B357" s="56"/>
      <c r="C357" s="56"/>
      <c r="D357" s="56"/>
      <c r="E357" s="56"/>
      <c r="F357" s="178"/>
    </row>
    <row r="358" spans="1:6" ht="13.5" hidden="1" customHeight="1" x14ac:dyDescent="0.25">
      <c r="A358" s="38"/>
      <c r="B358" s="56"/>
      <c r="C358" s="56"/>
      <c r="D358" s="56"/>
      <c r="E358" s="56"/>
      <c r="F358" s="178"/>
    </row>
    <row r="359" spans="1:6" ht="13.5" hidden="1" customHeight="1" x14ac:dyDescent="0.25">
      <c r="A359" s="38"/>
      <c r="B359" s="56"/>
      <c r="C359" s="56"/>
      <c r="D359" s="56"/>
      <c r="E359" s="56"/>
      <c r="F359" s="178"/>
    </row>
    <row r="360" spans="1:6" ht="13.5" hidden="1" customHeight="1" x14ac:dyDescent="0.25">
      <c r="A360" s="38"/>
      <c r="B360" s="56"/>
      <c r="C360" s="56"/>
      <c r="D360" s="56"/>
      <c r="E360" s="56"/>
      <c r="F360" s="178"/>
    </row>
    <row r="361" spans="1:6" ht="13.5" hidden="1" customHeight="1" x14ac:dyDescent="0.25">
      <c r="A361" s="38"/>
      <c r="B361" s="56"/>
      <c r="C361" s="56"/>
      <c r="D361" s="56"/>
      <c r="E361" s="56"/>
      <c r="F361" s="178"/>
    </row>
    <row r="362" spans="1:6" ht="13.5" hidden="1" customHeight="1" x14ac:dyDescent="0.25">
      <c r="A362" s="38"/>
      <c r="B362" s="56"/>
      <c r="C362" s="56"/>
      <c r="D362" s="56"/>
      <c r="E362" s="56"/>
      <c r="F362" s="178"/>
    </row>
    <row r="363" spans="1:6" ht="13.5" hidden="1" customHeight="1" x14ac:dyDescent="0.25">
      <c r="A363" s="38"/>
      <c r="B363" s="56"/>
      <c r="C363" s="56"/>
      <c r="D363" s="56"/>
      <c r="E363" s="56"/>
      <c r="F363" s="178"/>
    </row>
    <row r="364" spans="1:6" ht="13.5" hidden="1" customHeight="1" x14ac:dyDescent="0.25">
      <c r="A364" s="38"/>
      <c r="B364" s="56"/>
      <c r="C364" s="56"/>
      <c r="D364" s="56"/>
      <c r="E364" s="56"/>
      <c r="F364" s="178"/>
    </row>
    <row r="365" spans="1:6" ht="13.5" hidden="1" customHeight="1" x14ac:dyDescent="0.25">
      <c r="A365" s="38"/>
      <c r="B365" s="56"/>
      <c r="C365" s="56"/>
      <c r="D365" s="56"/>
      <c r="E365" s="56"/>
      <c r="F365" s="178"/>
    </row>
    <row r="366" spans="1:6" ht="13.5" hidden="1" customHeight="1" x14ac:dyDescent="0.25">
      <c r="A366" s="38"/>
      <c r="B366" s="56"/>
      <c r="C366" s="56"/>
      <c r="D366" s="56"/>
      <c r="E366" s="56"/>
      <c r="F366" s="178"/>
    </row>
    <row r="367" spans="1:6" ht="13.5" hidden="1" customHeight="1" x14ac:dyDescent="0.25">
      <c r="A367" s="38"/>
      <c r="B367" s="56"/>
      <c r="C367" s="56"/>
      <c r="D367" s="56"/>
      <c r="E367" s="56"/>
      <c r="F367" s="178"/>
    </row>
    <row r="368" spans="1:6" ht="13.5" hidden="1" customHeight="1" x14ac:dyDescent="0.25">
      <c r="A368" s="38"/>
      <c r="B368" s="56"/>
      <c r="C368" s="56"/>
      <c r="D368" s="56"/>
      <c r="E368" s="56"/>
      <c r="F368" s="178"/>
    </row>
    <row r="369" spans="1:6" ht="13.5" hidden="1" customHeight="1" x14ac:dyDescent="0.25">
      <c r="A369" s="38"/>
      <c r="B369" s="56"/>
      <c r="C369" s="56"/>
      <c r="D369" s="56"/>
      <c r="E369" s="56"/>
      <c r="F369" s="178"/>
    </row>
    <row r="370" spans="1:6" ht="13.5" hidden="1" customHeight="1" x14ac:dyDescent="0.25">
      <c r="A370" s="38"/>
      <c r="B370" s="56"/>
      <c r="C370" s="56"/>
      <c r="D370" s="56"/>
      <c r="E370" s="56"/>
      <c r="F370" s="178"/>
    </row>
    <row r="371" spans="1:6" ht="13.5" hidden="1" customHeight="1" x14ac:dyDescent="0.25">
      <c r="A371" s="38"/>
      <c r="B371" s="56"/>
      <c r="C371" s="56"/>
      <c r="D371" s="56"/>
      <c r="E371" s="56"/>
      <c r="F371" s="178"/>
    </row>
    <row r="372" spans="1:6" ht="13.5" hidden="1" customHeight="1" x14ac:dyDescent="0.25">
      <c r="A372" s="38"/>
      <c r="B372" s="56"/>
      <c r="C372" s="56"/>
      <c r="D372" s="56"/>
      <c r="E372" s="56"/>
      <c r="F372" s="178"/>
    </row>
    <row r="373" spans="1:6" ht="13.5" hidden="1" customHeight="1" x14ac:dyDescent="0.25">
      <c r="A373" s="38"/>
      <c r="B373" s="56"/>
      <c r="C373" s="56"/>
      <c r="D373" s="56"/>
      <c r="E373" s="56"/>
      <c r="F373" s="178"/>
    </row>
    <row r="374" spans="1:6" ht="13.5" hidden="1" customHeight="1" x14ac:dyDescent="0.25">
      <c r="A374" s="38"/>
      <c r="B374" s="56"/>
      <c r="C374" s="56"/>
      <c r="D374" s="56"/>
      <c r="E374" s="56"/>
      <c r="F374" s="178"/>
    </row>
    <row r="375" spans="1:6" ht="13.5" hidden="1" customHeight="1" x14ac:dyDescent="0.25">
      <c r="A375" s="38"/>
      <c r="B375" s="56"/>
      <c r="C375" s="56"/>
      <c r="D375" s="56"/>
      <c r="E375" s="56"/>
      <c r="F375" s="178"/>
    </row>
    <row r="376" spans="1:6" ht="13.5" hidden="1" customHeight="1" x14ac:dyDescent="0.25">
      <c r="A376" s="38"/>
      <c r="B376" s="56"/>
      <c r="C376" s="56"/>
      <c r="D376" s="56"/>
      <c r="E376" s="56"/>
      <c r="F376" s="178"/>
    </row>
    <row r="377" spans="1:6" ht="13.5" hidden="1" customHeight="1" x14ac:dyDescent="0.25">
      <c r="A377" s="38"/>
      <c r="B377" s="56"/>
      <c r="C377" s="56"/>
      <c r="D377" s="56"/>
      <c r="E377" s="56"/>
      <c r="F377" s="178"/>
    </row>
    <row r="378" spans="1:6" ht="13.5" hidden="1" customHeight="1" x14ac:dyDescent="0.25">
      <c r="A378" s="38"/>
      <c r="B378" s="56"/>
      <c r="C378" s="56"/>
      <c r="D378" s="56"/>
      <c r="E378" s="56"/>
      <c r="F378" s="178"/>
    </row>
    <row r="379" spans="1:6" ht="13.5" hidden="1" customHeight="1" x14ac:dyDescent="0.25">
      <c r="A379" s="38"/>
      <c r="B379" s="56"/>
      <c r="C379" s="56"/>
      <c r="D379" s="56"/>
      <c r="E379" s="56"/>
      <c r="F379" s="178"/>
    </row>
    <row r="380" spans="1:6" ht="13.5" hidden="1" customHeight="1" x14ac:dyDescent="0.25">
      <c r="A380" s="38"/>
      <c r="B380" s="56"/>
      <c r="C380" s="56"/>
      <c r="D380" s="56"/>
      <c r="E380" s="56"/>
      <c r="F380" s="178"/>
    </row>
    <row r="381" spans="1:6" ht="13.5" hidden="1" customHeight="1" x14ac:dyDescent="0.25">
      <c r="A381" s="38"/>
      <c r="B381" s="56"/>
      <c r="C381" s="56"/>
      <c r="D381" s="56"/>
      <c r="E381" s="56"/>
      <c r="F381" s="178"/>
    </row>
    <row r="382" spans="1:6" ht="13.5" hidden="1" customHeight="1" x14ac:dyDescent="0.25">
      <c r="A382" s="38"/>
      <c r="B382" s="56"/>
      <c r="C382" s="56"/>
      <c r="D382" s="56"/>
      <c r="E382" s="56"/>
      <c r="F382" s="178"/>
    </row>
    <row r="383" spans="1:6" ht="13.5" hidden="1" customHeight="1" x14ac:dyDescent="0.25">
      <c r="A383" s="38"/>
      <c r="B383" s="56"/>
      <c r="C383" s="56"/>
      <c r="D383" s="56"/>
      <c r="E383" s="56"/>
      <c r="F383" s="178"/>
    </row>
    <row r="384" spans="1:6" ht="13.5" hidden="1" customHeight="1" x14ac:dyDescent="0.25">
      <c r="A384" s="38"/>
      <c r="B384" s="56"/>
      <c r="C384" s="56"/>
      <c r="D384" s="56"/>
      <c r="E384" s="56"/>
      <c r="F384" s="178"/>
    </row>
    <row r="385" spans="1:6" ht="13.5" hidden="1" customHeight="1" x14ac:dyDescent="0.25">
      <c r="A385" s="38"/>
      <c r="B385" s="56"/>
      <c r="C385" s="56"/>
      <c r="D385" s="56"/>
      <c r="E385" s="56"/>
      <c r="F385" s="178"/>
    </row>
    <row r="386" spans="1:6" ht="13.5" hidden="1" customHeight="1" x14ac:dyDescent="0.25">
      <c r="A386" s="38"/>
      <c r="B386" s="56"/>
      <c r="C386" s="56"/>
      <c r="D386" s="56"/>
      <c r="E386" s="56"/>
      <c r="F386" s="178"/>
    </row>
    <row r="387" spans="1:6" ht="13.5" hidden="1" customHeight="1" x14ac:dyDescent="0.25">
      <c r="A387" s="38"/>
      <c r="B387" s="56"/>
      <c r="C387" s="56"/>
      <c r="D387" s="56"/>
      <c r="E387" s="56"/>
      <c r="F387" s="178"/>
    </row>
    <row r="388" spans="1:6" ht="13.5" hidden="1" customHeight="1" x14ac:dyDescent="0.25">
      <c r="A388" s="38"/>
      <c r="B388" s="56"/>
      <c r="C388" s="56"/>
      <c r="D388" s="56"/>
      <c r="E388" s="56"/>
      <c r="F388" s="178"/>
    </row>
    <row r="389" spans="1:6" ht="13.5" hidden="1" customHeight="1" x14ac:dyDescent="0.25">
      <c r="A389" s="38"/>
      <c r="B389" s="56"/>
      <c r="C389" s="56"/>
      <c r="D389" s="56"/>
      <c r="E389" s="56"/>
      <c r="F389" s="178"/>
    </row>
    <row r="390" spans="1:6" ht="13.5" hidden="1" customHeight="1" x14ac:dyDescent="0.25">
      <c r="A390" s="38"/>
      <c r="B390" s="56"/>
      <c r="C390" s="56"/>
      <c r="D390" s="56"/>
      <c r="E390" s="56"/>
      <c r="F390" s="178"/>
    </row>
    <row r="391" spans="1:6" ht="13.5" hidden="1" customHeight="1" x14ac:dyDescent="0.25">
      <c r="A391" s="38"/>
      <c r="B391" s="56"/>
      <c r="C391" s="56"/>
      <c r="D391" s="56"/>
      <c r="E391" s="56"/>
      <c r="F391" s="178"/>
    </row>
    <row r="392" spans="1:6" ht="13.5" hidden="1" customHeight="1" x14ac:dyDescent="0.25">
      <c r="A392" s="38"/>
      <c r="B392" s="56"/>
      <c r="C392" s="56"/>
      <c r="D392" s="56"/>
      <c r="E392" s="56"/>
      <c r="F392" s="178"/>
    </row>
    <row r="393" spans="1:6" ht="13.5" hidden="1" customHeight="1" x14ac:dyDescent="0.25">
      <c r="A393" s="38"/>
      <c r="B393" s="56"/>
      <c r="C393" s="56"/>
      <c r="D393" s="56"/>
      <c r="E393" s="56"/>
      <c r="F393" s="178"/>
    </row>
    <row r="394" spans="1:6" ht="13.5" hidden="1" customHeight="1" x14ac:dyDescent="0.25">
      <c r="A394" s="38"/>
      <c r="B394" s="56"/>
      <c r="C394" s="56"/>
      <c r="D394" s="56"/>
      <c r="E394" s="56"/>
      <c r="F394" s="178"/>
    </row>
    <row r="395" spans="1:6" ht="13.5" hidden="1" customHeight="1" x14ac:dyDescent="0.25">
      <c r="A395" s="38"/>
      <c r="B395" s="56"/>
      <c r="C395" s="56"/>
      <c r="D395" s="56"/>
      <c r="E395" s="56"/>
      <c r="F395" s="178"/>
    </row>
    <row r="396" spans="1:6" ht="13.5" hidden="1" customHeight="1" x14ac:dyDescent="0.25">
      <c r="A396" s="38"/>
      <c r="B396" s="56"/>
      <c r="C396" s="56"/>
      <c r="D396" s="56"/>
      <c r="E396" s="56"/>
      <c r="F396" s="178"/>
    </row>
    <row r="397" spans="1:6" ht="13.5" hidden="1" customHeight="1" x14ac:dyDescent="0.25">
      <c r="A397" s="38"/>
      <c r="B397" s="56"/>
      <c r="C397" s="56"/>
      <c r="D397" s="56"/>
      <c r="E397" s="56"/>
      <c r="F397" s="178"/>
    </row>
    <row r="398" spans="1:6" ht="13.5" hidden="1" customHeight="1" x14ac:dyDescent="0.25">
      <c r="A398" s="38"/>
      <c r="B398" s="56"/>
      <c r="C398" s="56"/>
      <c r="D398" s="56"/>
      <c r="E398" s="56"/>
      <c r="F398" s="178"/>
    </row>
    <row r="399" spans="1:6" ht="13.5" hidden="1" customHeight="1" x14ac:dyDescent="0.25">
      <c r="A399" s="38"/>
      <c r="B399" s="56"/>
      <c r="C399" s="56"/>
      <c r="D399" s="56"/>
      <c r="E399" s="56"/>
      <c r="F399" s="178"/>
    </row>
    <row r="400" spans="1:6" ht="13.5" hidden="1" customHeight="1" x14ac:dyDescent="0.25">
      <c r="A400" s="38"/>
      <c r="B400" s="56"/>
      <c r="C400" s="56"/>
      <c r="D400" s="56"/>
      <c r="E400" s="56"/>
      <c r="F400" s="178"/>
    </row>
    <row r="401" spans="1:6" ht="13.5" hidden="1" customHeight="1" x14ac:dyDescent="0.25">
      <c r="A401" s="38"/>
      <c r="B401" s="56"/>
      <c r="C401" s="56"/>
      <c r="D401" s="56"/>
      <c r="E401" s="56"/>
      <c r="F401" s="178"/>
    </row>
    <row r="402" spans="1:6" ht="13.5" hidden="1" customHeight="1" x14ac:dyDescent="0.25">
      <c r="A402" s="38"/>
      <c r="B402" s="56"/>
      <c r="C402" s="56"/>
      <c r="D402" s="56"/>
      <c r="E402" s="56"/>
      <c r="F402" s="178"/>
    </row>
    <row r="403" spans="1:6" ht="13.5" hidden="1" customHeight="1" x14ac:dyDescent="0.25">
      <c r="A403" s="38"/>
      <c r="B403" s="56"/>
      <c r="C403" s="56"/>
      <c r="D403" s="56"/>
      <c r="E403" s="56"/>
      <c r="F403" s="178"/>
    </row>
    <row r="404" spans="1:6" ht="13.5" hidden="1" customHeight="1" x14ac:dyDescent="0.25">
      <c r="A404" s="38"/>
      <c r="B404" s="56"/>
      <c r="C404" s="56"/>
      <c r="D404" s="56"/>
      <c r="E404" s="56"/>
      <c r="F404" s="178"/>
    </row>
    <row r="405" spans="1:6" ht="13.5" hidden="1" customHeight="1" x14ac:dyDescent="0.25">
      <c r="A405" s="38"/>
      <c r="B405" s="56"/>
      <c r="C405" s="56"/>
      <c r="D405" s="56"/>
      <c r="E405" s="56"/>
      <c r="F405" s="178"/>
    </row>
    <row r="406" spans="1:6" ht="13.5" hidden="1" customHeight="1" x14ac:dyDescent="0.25">
      <c r="A406" s="38"/>
      <c r="B406" s="56"/>
      <c r="C406" s="56"/>
      <c r="D406" s="56"/>
      <c r="E406" s="56"/>
      <c r="F406" s="178"/>
    </row>
    <row r="407" spans="1:6" ht="13.5" hidden="1" customHeight="1" x14ac:dyDescent="0.25">
      <c r="A407" s="38"/>
      <c r="B407" s="56"/>
      <c r="C407" s="56"/>
      <c r="D407" s="56"/>
      <c r="E407" s="56"/>
      <c r="F407" s="178"/>
    </row>
    <row r="408" spans="1:6" ht="13.5" hidden="1" customHeight="1" x14ac:dyDescent="0.25">
      <c r="A408" s="38"/>
      <c r="B408" s="56"/>
      <c r="C408" s="56"/>
      <c r="D408" s="56"/>
      <c r="E408" s="56"/>
      <c r="F408" s="178"/>
    </row>
    <row r="409" spans="1:6" ht="13.5" hidden="1" customHeight="1" x14ac:dyDescent="0.25">
      <c r="A409" s="38"/>
      <c r="B409" s="56"/>
      <c r="C409" s="56"/>
      <c r="D409" s="56"/>
      <c r="E409" s="56"/>
      <c r="F409" s="178"/>
    </row>
    <row r="410" spans="1:6" ht="13.5" hidden="1" customHeight="1" x14ac:dyDescent="0.25">
      <c r="A410" s="38"/>
      <c r="B410" s="56"/>
      <c r="C410" s="56"/>
      <c r="D410" s="56"/>
      <c r="E410" s="56"/>
      <c r="F410" s="178"/>
    </row>
    <row r="411" spans="1:6" ht="13.5" hidden="1" customHeight="1" x14ac:dyDescent="0.25">
      <c r="A411" s="38"/>
      <c r="B411" s="56"/>
      <c r="C411" s="56"/>
      <c r="D411" s="56"/>
      <c r="E411" s="56"/>
      <c r="F411" s="178"/>
    </row>
    <row r="412" spans="1:6" ht="13.5" hidden="1" customHeight="1" x14ac:dyDescent="0.25">
      <c r="A412" s="38"/>
      <c r="B412" s="56"/>
      <c r="C412" s="56"/>
      <c r="D412" s="56"/>
      <c r="E412" s="56"/>
      <c r="F412" s="178"/>
    </row>
    <row r="413" spans="1:6" ht="13.5" hidden="1" customHeight="1" x14ac:dyDescent="0.25">
      <c r="A413" s="38"/>
      <c r="B413" s="56"/>
      <c r="C413" s="56"/>
      <c r="D413" s="56"/>
      <c r="E413" s="56"/>
      <c r="F413" s="178"/>
    </row>
    <row r="414" spans="1:6" ht="13.5" hidden="1" customHeight="1" x14ac:dyDescent="0.25">
      <c r="A414" s="38"/>
      <c r="B414" s="56"/>
      <c r="C414" s="56"/>
      <c r="D414" s="56"/>
      <c r="E414" s="56"/>
      <c r="F414" s="178"/>
    </row>
    <row r="415" spans="1:6" ht="13.5" hidden="1" customHeight="1" x14ac:dyDescent="0.25">
      <c r="A415" s="38"/>
      <c r="B415" s="56"/>
      <c r="C415" s="56"/>
      <c r="D415" s="56"/>
      <c r="E415" s="56"/>
      <c r="F415" s="178"/>
    </row>
    <row r="416" spans="1:6" ht="13.5" hidden="1" customHeight="1" x14ac:dyDescent="0.25">
      <c r="A416" s="38"/>
      <c r="B416" s="56"/>
      <c r="C416" s="56"/>
      <c r="D416" s="56"/>
      <c r="E416" s="56"/>
      <c r="F416" s="178"/>
    </row>
    <row r="417" spans="1:6" ht="13.5" hidden="1" customHeight="1" x14ac:dyDescent="0.25">
      <c r="A417" s="38"/>
      <c r="B417" s="56"/>
      <c r="C417" s="56"/>
      <c r="D417" s="56"/>
      <c r="E417" s="56"/>
      <c r="F417" s="178"/>
    </row>
    <row r="418" spans="1:6" ht="13.5" hidden="1" customHeight="1" x14ac:dyDescent="0.25">
      <c r="A418" s="38"/>
      <c r="B418" s="56"/>
      <c r="C418" s="56"/>
      <c r="D418" s="56"/>
      <c r="E418" s="56"/>
      <c r="F418" s="178"/>
    </row>
    <row r="419" spans="1:6" ht="13.5" hidden="1" customHeight="1" x14ac:dyDescent="0.25">
      <c r="A419" s="38"/>
      <c r="B419" s="56"/>
      <c r="C419" s="56"/>
      <c r="D419" s="56"/>
      <c r="E419" s="56"/>
      <c r="F419" s="178"/>
    </row>
    <row r="420" spans="1:6" ht="13.5" hidden="1" customHeight="1" x14ac:dyDescent="0.25">
      <c r="A420" s="38"/>
      <c r="B420" s="56"/>
      <c r="C420" s="56"/>
      <c r="D420" s="56"/>
      <c r="E420" s="56"/>
      <c r="F420" s="178"/>
    </row>
    <row r="421" spans="1:6" ht="13.5" hidden="1" customHeight="1" x14ac:dyDescent="0.25">
      <c r="A421" s="38"/>
      <c r="B421" s="56"/>
      <c r="C421" s="56"/>
      <c r="D421" s="56"/>
      <c r="E421" s="56"/>
      <c r="F421" s="178"/>
    </row>
    <row r="422" spans="1:6" ht="13.5" hidden="1" customHeight="1" x14ac:dyDescent="0.25">
      <c r="A422" s="38"/>
      <c r="B422" s="56"/>
      <c r="C422" s="56"/>
      <c r="D422" s="56"/>
      <c r="E422" s="56"/>
      <c r="F422" s="178"/>
    </row>
    <row r="423" spans="1:6" ht="13.5" hidden="1" customHeight="1" x14ac:dyDescent="0.25">
      <c r="A423" s="38"/>
      <c r="B423" s="56"/>
      <c r="C423" s="56"/>
      <c r="D423" s="56"/>
      <c r="E423" s="56"/>
      <c r="F423" s="178"/>
    </row>
    <row r="424" spans="1:6" ht="13.5" hidden="1" customHeight="1" x14ac:dyDescent="0.25">
      <c r="A424" s="38"/>
      <c r="B424" s="56"/>
      <c r="C424" s="56"/>
      <c r="D424" s="56"/>
      <c r="E424" s="56"/>
      <c r="F424" s="178"/>
    </row>
    <row r="425" spans="1:6" ht="13.5" hidden="1" customHeight="1" x14ac:dyDescent="0.25">
      <c r="A425" s="38"/>
      <c r="B425" s="56"/>
      <c r="C425" s="56"/>
      <c r="D425" s="56"/>
      <c r="E425" s="56"/>
      <c r="F425" s="178"/>
    </row>
    <row r="426" spans="1:6" ht="13.5" hidden="1" customHeight="1" x14ac:dyDescent="0.25">
      <c r="A426" s="38"/>
      <c r="B426" s="56"/>
      <c r="C426" s="56"/>
      <c r="D426" s="56"/>
      <c r="E426" s="56"/>
      <c r="F426" s="178"/>
    </row>
    <row r="427" spans="1:6" ht="13.5" hidden="1" customHeight="1" x14ac:dyDescent="0.25">
      <c r="A427" s="38"/>
      <c r="B427" s="56"/>
      <c r="C427" s="56"/>
      <c r="D427" s="56"/>
      <c r="E427" s="56"/>
      <c r="F427" s="178"/>
    </row>
    <row r="428" spans="1:6" ht="13.5" hidden="1" customHeight="1" x14ac:dyDescent="0.25">
      <c r="A428" s="38"/>
      <c r="B428" s="56"/>
      <c r="C428" s="56"/>
      <c r="D428" s="56"/>
      <c r="E428" s="56"/>
      <c r="F428" s="178"/>
    </row>
    <row r="429" spans="1:6" ht="13.5" hidden="1" customHeight="1" x14ac:dyDescent="0.25">
      <c r="A429" s="38"/>
      <c r="B429" s="56"/>
      <c r="C429" s="56"/>
      <c r="D429" s="56"/>
      <c r="E429" s="56"/>
      <c r="F429" s="178"/>
    </row>
    <row r="430" spans="1:6" ht="13.5" hidden="1" customHeight="1" x14ac:dyDescent="0.25">
      <c r="A430" s="38"/>
      <c r="B430" s="56"/>
      <c r="C430" s="56"/>
      <c r="D430" s="56"/>
      <c r="E430" s="56"/>
      <c r="F430" s="178"/>
    </row>
    <row r="431" spans="1:6" ht="13.5" hidden="1" customHeight="1" x14ac:dyDescent="0.25">
      <c r="A431" s="38"/>
      <c r="B431" s="56"/>
      <c r="C431" s="56"/>
      <c r="D431" s="56"/>
      <c r="E431" s="56"/>
      <c r="F431" s="178"/>
    </row>
    <row r="432" spans="1:6" ht="13.5" hidden="1" customHeight="1" x14ac:dyDescent="0.25">
      <c r="A432" s="38"/>
      <c r="B432" s="56"/>
      <c r="C432" s="56"/>
      <c r="D432" s="56"/>
      <c r="E432" s="56"/>
      <c r="F432" s="178"/>
    </row>
    <row r="433" spans="1:6" ht="13.5" hidden="1" customHeight="1" x14ac:dyDescent="0.25">
      <c r="A433" s="38"/>
      <c r="B433" s="56"/>
      <c r="C433" s="56"/>
      <c r="D433" s="56"/>
      <c r="E433" s="56"/>
      <c r="F433" s="178"/>
    </row>
    <row r="434" spans="1:6" ht="13.5" hidden="1" customHeight="1" x14ac:dyDescent="0.25">
      <c r="A434" s="38"/>
      <c r="B434" s="56"/>
      <c r="C434" s="56"/>
      <c r="D434" s="56"/>
      <c r="E434" s="56"/>
      <c r="F434" s="178"/>
    </row>
    <row r="435" spans="1:6" ht="13.5" hidden="1" customHeight="1" x14ac:dyDescent="0.25">
      <c r="A435" s="38"/>
      <c r="B435" s="56"/>
      <c r="C435" s="56"/>
      <c r="D435" s="56"/>
      <c r="E435" s="56"/>
      <c r="F435" s="178"/>
    </row>
    <row r="436" spans="1:6" ht="13.5" hidden="1" customHeight="1" x14ac:dyDescent="0.25">
      <c r="A436" s="38"/>
      <c r="B436" s="56"/>
      <c r="C436" s="56"/>
      <c r="D436" s="56"/>
      <c r="E436" s="56"/>
      <c r="F436" s="178"/>
    </row>
    <row r="437" spans="1:6" ht="13.5" hidden="1" customHeight="1" x14ac:dyDescent="0.25">
      <c r="A437" s="38"/>
      <c r="B437" s="56"/>
      <c r="C437" s="56"/>
      <c r="D437" s="56"/>
      <c r="E437" s="56"/>
      <c r="F437" s="178"/>
    </row>
    <row r="438" spans="1:6" ht="13.5" hidden="1" customHeight="1" x14ac:dyDescent="0.25">
      <c r="A438" s="38"/>
      <c r="B438" s="56"/>
      <c r="C438" s="56"/>
      <c r="D438" s="56"/>
      <c r="E438" s="56"/>
      <c r="F438" s="178"/>
    </row>
    <row r="439" spans="1:6" ht="13.5" hidden="1" customHeight="1" x14ac:dyDescent="0.25">
      <c r="A439" s="38"/>
      <c r="B439" s="56"/>
      <c r="C439" s="56"/>
      <c r="D439" s="56"/>
      <c r="E439" s="56"/>
      <c r="F439" s="178"/>
    </row>
    <row r="440" spans="1:6" ht="13.5" hidden="1" customHeight="1" x14ac:dyDescent="0.25">
      <c r="A440" s="38"/>
      <c r="B440" s="56"/>
      <c r="C440" s="56"/>
      <c r="D440" s="56"/>
      <c r="E440" s="56"/>
      <c r="F440" s="178"/>
    </row>
    <row r="441" spans="1:6" ht="13.5" hidden="1" customHeight="1" x14ac:dyDescent="0.25">
      <c r="A441" s="38"/>
      <c r="B441" s="56"/>
      <c r="C441" s="56"/>
      <c r="D441" s="56"/>
      <c r="E441" s="56"/>
      <c r="F441" s="178"/>
    </row>
    <row r="442" spans="1:6" ht="13.5" hidden="1" customHeight="1" x14ac:dyDescent="0.25">
      <c r="A442" s="38"/>
      <c r="B442" s="56"/>
      <c r="C442" s="56"/>
      <c r="D442" s="56"/>
      <c r="E442" s="56"/>
      <c r="F442" s="178"/>
    </row>
    <row r="443" spans="1:6" ht="13.5" hidden="1" customHeight="1" x14ac:dyDescent="0.25">
      <c r="A443" s="38"/>
      <c r="B443" s="56"/>
      <c r="C443" s="56"/>
      <c r="D443" s="56"/>
      <c r="E443" s="56"/>
      <c r="F443" s="178"/>
    </row>
    <row r="444" spans="1:6" ht="13.5" hidden="1" customHeight="1" x14ac:dyDescent="0.25">
      <c r="A444" s="38"/>
      <c r="B444" s="56"/>
      <c r="C444" s="56"/>
      <c r="D444" s="56"/>
      <c r="E444" s="56"/>
      <c r="F444" s="178"/>
    </row>
    <row r="445" spans="1:6" ht="13.5" hidden="1" customHeight="1" x14ac:dyDescent="0.25">
      <c r="A445" s="38"/>
      <c r="B445" s="56"/>
      <c r="C445" s="56"/>
      <c r="D445" s="56"/>
      <c r="E445" s="56"/>
      <c r="F445" s="178"/>
    </row>
    <row r="446" spans="1:6" ht="13.5" hidden="1" customHeight="1" x14ac:dyDescent="0.25">
      <c r="A446" s="38"/>
      <c r="B446" s="56"/>
      <c r="C446" s="56"/>
      <c r="D446" s="56"/>
      <c r="E446" s="56"/>
      <c r="F446" s="178"/>
    </row>
    <row r="447" spans="1:6" ht="13.5" hidden="1" customHeight="1" x14ac:dyDescent="0.25">
      <c r="A447" s="38"/>
      <c r="B447" s="56"/>
      <c r="C447" s="56"/>
      <c r="D447" s="56"/>
      <c r="E447" s="56"/>
      <c r="F447" s="178"/>
    </row>
    <row r="448" spans="1:6" ht="13.5" hidden="1" customHeight="1" x14ac:dyDescent="0.25">
      <c r="A448" s="38"/>
      <c r="B448" s="56"/>
      <c r="C448" s="56"/>
      <c r="D448" s="56"/>
      <c r="E448" s="56"/>
      <c r="F448" s="178"/>
    </row>
    <row r="449" spans="1:6" ht="13.5" hidden="1" customHeight="1" x14ac:dyDescent="0.25">
      <c r="A449" s="38"/>
      <c r="B449" s="56"/>
      <c r="C449" s="56"/>
      <c r="D449" s="56"/>
      <c r="E449" s="56"/>
      <c r="F449" s="178"/>
    </row>
    <row r="450" spans="1:6" ht="13.5" hidden="1" customHeight="1" x14ac:dyDescent="0.25">
      <c r="A450" s="38"/>
      <c r="B450" s="56"/>
      <c r="C450" s="56"/>
      <c r="D450" s="56"/>
      <c r="E450" s="56"/>
      <c r="F450" s="178"/>
    </row>
    <row r="451" spans="1:6" ht="13.5" hidden="1" customHeight="1" x14ac:dyDescent="0.25">
      <c r="A451" s="38"/>
      <c r="B451" s="56"/>
      <c r="C451" s="56"/>
      <c r="D451" s="56"/>
      <c r="E451" s="56"/>
      <c r="F451" s="178"/>
    </row>
    <row r="452" spans="1:6" ht="13.5" hidden="1" customHeight="1" x14ac:dyDescent="0.25">
      <c r="A452" s="38"/>
      <c r="B452" s="56"/>
      <c r="C452" s="56"/>
      <c r="D452" s="56"/>
      <c r="E452" s="56"/>
      <c r="F452" s="178"/>
    </row>
    <row r="453" spans="1:6" ht="13.5" hidden="1" customHeight="1" x14ac:dyDescent="0.25">
      <c r="A453" s="38"/>
      <c r="B453" s="56"/>
      <c r="C453" s="56"/>
      <c r="D453" s="56"/>
      <c r="E453" s="56"/>
      <c r="F453" s="178"/>
    </row>
    <row r="454" spans="1:6" ht="13.5" hidden="1" customHeight="1" x14ac:dyDescent="0.25">
      <c r="A454" s="38"/>
      <c r="B454" s="56"/>
      <c r="C454" s="56"/>
      <c r="D454" s="56"/>
      <c r="E454" s="56"/>
      <c r="F454" s="178"/>
    </row>
    <row r="455" spans="1:6" ht="13.5" hidden="1" customHeight="1" x14ac:dyDescent="0.25">
      <c r="A455" s="38"/>
      <c r="B455" s="56"/>
      <c r="C455" s="56"/>
      <c r="D455" s="56"/>
      <c r="E455" s="56"/>
      <c r="F455" s="178"/>
    </row>
    <row r="456" spans="1:6" ht="13.5" hidden="1" customHeight="1" x14ac:dyDescent="0.25">
      <c r="A456" s="38"/>
      <c r="B456" s="56"/>
      <c r="C456" s="56"/>
      <c r="D456" s="56"/>
      <c r="E456" s="56"/>
      <c r="F456" s="178"/>
    </row>
    <row r="457" spans="1:6" ht="13.5" hidden="1" customHeight="1" x14ac:dyDescent="0.25">
      <c r="A457" s="38"/>
      <c r="B457" s="56"/>
      <c r="C457" s="56"/>
      <c r="D457" s="56"/>
      <c r="E457" s="56"/>
      <c r="F457" s="178"/>
    </row>
    <row r="458" spans="1:6" ht="13.5" hidden="1" customHeight="1" x14ac:dyDescent="0.25">
      <c r="A458" s="38"/>
      <c r="B458" s="56"/>
      <c r="C458" s="56"/>
      <c r="D458" s="56"/>
      <c r="E458" s="56"/>
      <c r="F458" s="178"/>
    </row>
    <row r="459" spans="1:6" ht="13.5" hidden="1" customHeight="1" x14ac:dyDescent="0.25">
      <c r="A459" s="38"/>
      <c r="B459" s="56"/>
      <c r="C459" s="56"/>
      <c r="D459" s="56"/>
      <c r="E459" s="56"/>
      <c r="F459" s="178"/>
    </row>
    <row r="460" spans="1:6" ht="13.5" hidden="1" customHeight="1" x14ac:dyDescent="0.25">
      <c r="A460" s="38"/>
      <c r="B460" s="56"/>
      <c r="C460" s="56"/>
      <c r="D460" s="56"/>
      <c r="E460" s="56"/>
      <c r="F460" s="178"/>
    </row>
    <row r="461" spans="1:6" ht="13.5" hidden="1" customHeight="1" x14ac:dyDescent="0.25">
      <c r="A461" s="38"/>
      <c r="B461" s="56"/>
      <c r="C461" s="56"/>
      <c r="D461" s="56"/>
      <c r="E461" s="56"/>
      <c r="F461" s="178"/>
    </row>
    <row r="462" spans="1:6" ht="13.5" hidden="1" customHeight="1" x14ac:dyDescent="0.25">
      <c r="A462" s="38"/>
      <c r="B462" s="56"/>
      <c r="C462" s="56"/>
      <c r="D462" s="56"/>
      <c r="E462" s="56"/>
      <c r="F462" s="178"/>
    </row>
    <row r="463" spans="1:6" ht="13.5" hidden="1" customHeight="1" x14ac:dyDescent="0.25">
      <c r="A463" s="38"/>
      <c r="B463" s="56"/>
      <c r="C463" s="56"/>
      <c r="D463" s="56"/>
      <c r="E463" s="56"/>
      <c r="F463" s="178"/>
    </row>
    <row r="464" spans="1:6" ht="13.5" hidden="1" customHeight="1" x14ac:dyDescent="0.25">
      <c r="A464" s="38"/>
      <c r="B464" s="56"/>
      <c r="C464" s="56"/>
      <c r="D464" s="56"/>
      <c r="E464" s="56"/>
      <c r="F464" s="178"/>
    </row>
    <row r="465" spans="1:6" ht="13.5" hidden="1" customHeight="1" x14ac:dyDescent="0.25">
      <c r="A465" s="38"/>
      <c r="B465" s="56"/>
      <c r="C465" s="56"/>
      <c r="D465" s="56"/>
      <c r="E465" s="56"/>
      <c r="F465" s="178"/>
    </row>
    <row r="466" spans="1:6" ht="13.5" hidden="1" customHeight="1" x14ac:dyDescent="0.25">
      <c r="A466" s="38"/>
      <c r="B466" s="56"/>
      <c r="C466" s="56"/>
      <c r="D466" s="56"/>
      <c r="E466" s="56"/>
      <c r="F466" s="178"/>
    </row>
    <row r="467" spans="1:6" ht="13.5" hidden="1" customHeight="1" x14ac:dyDescent="0.25">
      <c r="A467" s="38"/>
      <c r="B467" s="56"/>
      <c r="C467" s="56"/>
      <c r="D467" s="56"/>
      <c r="E467" s="56"/>
      <c r="F467" s="178"/>
    </row>
    <row r="468" spans="1:6" ht="13.5" hidden="1" customHeight="1" x14ac:dyDescent="0.25">
      <c r="A468" s="38"/>
      <c r="B468" s="56"/>
      <c r="C468" s="56"/>
      <c r="D468" s="56"/>
      <c r="E468" s="56"/>
      <c r="F468" s="178"/>
    </row>
    <row r="469" spans="1:6" ht="13.5" hidden="1" customHeight="1" x14ac:dyDescent="0.25">
      <c r="A469" s="38"/>
      <c r="B469" s="56"/>
      <c r="C469" s="56"/>
      <c r="D469" s="56"/>
      <c r="E469" s="56"/>
      <c r="F469" s="178"/>
    </row>
    <row r="470" spans="1:6" ht="13.5" hidden="1" customHeight="1" x14ac:dyDescent="0.25">
      <c r="A470" s="38"/>
      <c r="B470" s="56"/>
      <c r="C470" s="56"/>
      <c r="D470" s="56"/>
      <c r="E470" s="56"/>
      <c r="F470" s="178"/>
    </row>
    <row r="471" spans="1:6" ht="13.5" hidden="1" customHeight="1" x14ac:dyDescent="0.25">
      <c r="A471" s="38"/>
      <c r="B471" s="56"/>
      <c r="C471" s="56"/>
      <c r="D471" s="56"/>
      <c r="E471" s="56"/>
      <c r="F471" s="178"/>
    </row>
    <row r="472" spans="1:6" ht="13.5" hidden="1" customHeight="1" x14ac:dyDescent="0.25">
      <c r="A472" s="38"/>
      <c r="B472" s="56"/>
      <c r="C472" s="56"/>
      <c r="D472" s="56"/>
      <c r="E472" s="56"/>
      <c r="F472" s="178"/>
    </row>
    <row r="473" spans="1:6" ht="13.5" hidden="1" customHeight="1" x14ac:dyDescent="0.25">
      <c r="A473" s="38"/>
      <c r="B473" s="56"/>
      <c r="C473" s="56"/>
      <c r="D473" s="56"/>
      <c r="E473" s="56"/>
      <c r="F473" s="178"/>
    </row>
    <row r="474" spans="1:6" ht="13.5" hidden="1" customHeight="1" x14ac:dyDescent="0.25">
      <c r="A474" s="38"/>
      <c r="B474" s="56"/>
      <c r="C474" s="56"/>
      <c r="D474" s="56"/>
      <c r="E474" s="56"/>
      <c r="F474" s="178"/>
    </row>
    <row r="475" spans="1:6" ht="13.5" hidden="1" customHeight="1" x14ac:dyDescent="0.25">
      <c r="A475" s="38"/>
      <c r="B475" s="56"/>
      <c r="C475" s="56"/>
      <c r="D475" s="56"/>
      <c r="E475" s="56"/>
      <c r="F475" s="178"/>
    </row>
    <row r="476" spans="1:6" ht="13.5" hidden="1" customHeight="1" x14ac:dyDescent="0.25">
      <c r="A476" s="38"/>
      <c r="B476" s="56"/>
      <c r="C476" s="56"/>
      <c r="D476" s="56"/>
      <c r="E476" s="56"/>
      <c r="F476" s="178"/>
    </row>
    <row r="477" spans="1:6" ht="13.5" hidden="1" customHeight="1" x14ac:dyDescent="0.25">
      <c r="A477" s="38"/>
      <c r="B477" s="56"/>
      <c r="C477" s="56"/>
      <c r="D477" s="56"/>
      <c r="E477" s="56"/>
      <c r="F477" s="178"/>
    </row>
    <row r="478" spans="1:6" ht="13.5" hidden="1" customHeight="1" x14ac:dyDescent="0.25">
      <c r="A478" s="38"/>
      <c r="B478" s="56"/>
      <c r="C478" s="56"/>
      <c r="D478" s="56"/>
      <c r="E478" s="56"/>
      <c r="F478" s="178"/>
    </row>
    <row r="479" spans="1:6" ht="13.5" hidden="1" customHeight="1" x14ac:dyDescent="0.25">
      <c r="A479" s="38"/>
      <c r="B479" s="56"/>
      <c r="C479" s="56"/>
      <c r="D479" s="56"/>
      <c r="E479" s="56"/>
      <c r="F479" s="178"/>
    </row>
    <row r="480" spans="1:6" ht="13.5" hidden="1" customHeight="1" x14ac:dyDescent="0.25">
      <c r="A480" s="38"/>
      <c r="B480" s="56"/>
      <c r="C480" s="56"/>
      <c r="D480" s="56"/>
      <c r="E480" s="56"/>
      <c r="F480" s="178"/>
    </row>
    <row r="481" spans="1:6" ht="13.5" hidden="1" customHeight="1" x14ac:dyDescent="0.25">
      <c r="A481" s="38"/>
      <c r="B481" s="56"/>
      <c r="C481" s="56"/>
      <c r="D481" s="56"/>
      <c r="E481" s="56"/>
      <c r="F481" s="178"/>
    </row>
    <row r="482" spans="1:6" ht="13.5" hidden="1" customHeight="1" x14ac:dyDescent="0.25">
      <c r="A482" s="38"/>
      <c r="B482" s="56"/>
      <c r="C482" s="56"/>
      <c r="D482" s="56"/>
      <c r="E482" s="56"/>
      <c r="F482" s="178"/>
    </row>
    <row r="483" spans="1:6" ht="13.5" hidden="1" customHeight="1" x14ac:dyDescent="0.25">
      <c r="A483" s="38"/>
      <c r="B483" s="56"/>
      <c r="C483" s="56"/>
      <c r="D483" s="56"/>
      <c r="E483" s="56"/>
      <c r="F483" s="178"/>
    </row>
    <row r="484" spans="1:6" ht="13.5" hidden="1" customHeight="1" x14ac:dyDescent="0.25">
      <c r="A484" s="38"/>
      <c r="B484" s="56"/>
      <c r="C484" s="56"/>
      <c r="D484" s="56"/>
      <c r="E484" s="56"/>
      <c r="F484" s="178"/>
    </row>
    <row r="485" spans="1:6" ht="13.5" hidden="1" customHeight="1" x14ac:dyDescent="0.25">
      <c r="A485" s="38"/>
      <c r="B485" s="56"/>
      <c r="C485" s="56"/>
      <c r="D485" s="56"/>
      <c r="E485" s="56"/>
      <c r="F485" s="178"/>
    </row>
    <row r="486" spans="1:6" ht="13.5" hidden="1" customHeight="1" x14ac:dyDescent="0.25">
      <c r="A486" s="38"/>
      <c r="B486" s="56"/>
      <c r="C486" s="56"/>
      <c r="D486" s="56"/>
      <c r="E486" s="56"/>
      <c r="F486" s="178"/>
    </row>
    <row r="487" spans="1:6" ht="13.5" hidden="1" customHeight="1" x14ac:dyDescent="0.25">
      <c r="A487" s="38"/>
      <c r="B487" s="56"/>
      <c r="C487" s="56"/>
      <c r="D487" s="56"/>
      <c r="E487" s="56"/>
      <c r="F487" s="178"/>
    </row>
    <row r="488" spans="1:6" ht="13.5" hidden="1" customHeight="1" x14ac:dyDescent="0.25">
      <c r="A488" s="38"/>
      <c r="B488" s="56"/>
      <c r="C488" s="56"/>
      <c r="D488" s="56"/>
      <c r="E488" s="56"/>
      <c r="F488" s="178"/>
    </row>
    <row r="489" spans="1:6" ht="13.5" hidden="1" customHeight="1" x14ac:dyDescent="0.25">
      <c r="A489" s="38"/>
      <c r="B489" s="56"/>
      <c r="C489" s="56"/>
      <c r="D489" s="56"/>
      <c r="E489" s="56"/>
      <c r="F489" s="178"/>
    </row>
    <row r="490" spans="1:6" ht="13.5" hidden="1" customHeight="1" x14ac:dyDescent="0.25">
      <c r="A490" s="38"/>
      <c r="B490" s="56"/>
      <c r="C490" s="56"/>
      <c r="D490" s="56"/>
      <c r="E490" s="56"/>
      <c r="F490" s="178"/>
    </row>
    <row r="491" spans="1:6" ht="13.5" hidden="1" customHeight="1" x14ac:dyDescent="0.25">
      <c r="A491" s="38"/>
      <c r="B491" s="56"/>
      <c r="C491" s="56"/>
      <c r="D491" s="56"/>
      <c r="E491" s="56"/>
      <c r="F491" s="178"/>
    </row>
    <row r="492" spans="1:6" ht="13.5" hidden="1" customHeight="1" x14ac:dyDescent="0.25">
      <c r="A492" s="38"/>
      <c r="B492" s="56"/>
      <c r="C492" s="56"/>
      <c r="D492" s="56"/>
      <c r="E492" s="56"/>
      <c r="F492" s="178"/>
    </row>
    <row r="493" spans="1:6" ht="13.5" hidden="1" customHeight="1" x14ac:dyDescent="0.25">
      <c r="A493" s="38"/>
      <c r="B493" s="56"/>
      <c r="C493" s="56"/>
      <c r="D493" s="56"/>
      <c r="E493" s="56"/>
      <c r="F493" s="178"/>
    </row>
    <row r="494" spans="1:6" ht="13.5" hidden="1" customHeight="1" x14ac:dyDescent="0.25">
      <c r="A494" s="38"/>
      <c r="B494" s="56"/>
      <c r="C494" s="56"/>
      <c r="D494" s="56"/>
      <c r="E494" s="56"/>
      <c r="F494" s="178"/>
    </row>
    <row r="495" spans="1:6" ht="13.5" hidden="1" customHeight="1" x14ac:dyDescent="0.25">
      <c r="A495" s="38"/>
      <c r="B495" s="56"/>
      <c r="C495" s="56"/>
      <c r="D495" s="56"/>
      <c r="E495" s="56"/>
      <c r="F495" s="178"/>
    </row>
    <row r="496" spans="1:6" ht="13.5" hidden="1" customHeight="1" x14ac:dyDescent="0.25">
      <c r="A496" s="38"/>
      <c r="B496" s="56"/>
      <c r="C496" s="56"/>
      <c r="D496" s="56"/>
      <c r="E496" s="56"/>
      <c r="F496" s="178"/>
    </row>
    <row r="497" spans="1:6" ht="13.5" hidden="1" customHeight="1" x14ac:dyDescent="0.25">
      <c r="A497" s="38"/>
      <c r="B497" s="56"/>
      <c r="C497" s="56"/>
      <c r="D497" s="56"/>
      <c r="E497" s="56"/>
      <c r="F497" s="178"/>
    </row>
    <row r="498" spans="1:6" ht="13.5" hidden="1" customHeight="1" x14ac:dyDescent="0.25">
      <c r="A498" s="38"/>
      <c r="B498" s="56"/>
      <c r="C498" s="56"/>
      <c r="D498" s="56"/>
      <c r="E498" s="56"/>
      <c r="F498" s="178"/>
    </row>
    <row r="499" spans="1:6" ht="13.5" hidden="1" customHeight="1" x14ac:dyDescent="0.25">
      <c r="A499" s="38"/>
      <c r="B499" s="56"/>
      <c r="C499" s="56"/>
      <c r="D499" s="56"/>
      <c r="E499" s="56"/>
      <c r="F499" s="178"/>
    </row>
    <row r="500" spans="1:6" ht="13.5" hidden="1" customHeight="1" x14ac:dyDescent="0.25">
      <c r="A500" s="38"/>
      <c r="B500" s="56"/>
      <c r="C500" s="56"/>
      <c r="D500" s="56"/>
      <c r="E500" s="56"/>
      <c r="F500" s="178"/>
    </row>
    <row r="501" spans="1:6" ht="13.5" hidden="1" customHeight="1" x14ac:dyDescent="0.25">
      <c r="A501" s="38"/>
      <c r="B501" s="56"/>
      <c r="C501" s="56"/>
      <c r="D501" s="56"/>
      <c r="E501" s="56"/>
      <c r="F501" s="178"/>
    </row>
    <row r="502" spans="1:6" ht="13.5" hidden="1" customHeight="1" x14ac:dyDescent="0.25">
      <c r="A502" s="38"/>
      <c r="B502" s="56"/>
      <c r="C502" s="56"/>
      <c r="D502" s="56"/>
      <c r="E502" s="56"/>
      <c r="F502" s="178"/>
    </row>
    <row r="503" spans="1:6" ht="13.5" hidden="1" customHeight="1" x14ac:dyDescent="0.25">
      <c r="A503" s="38"/>
      <c r="B503" s="56"/>
      <c r="C503" s="56"/>
      <c r="D503" s="56"/>
      <c r="E503" s="56"/>
      <c r="F503" s="178"/>
    </row>
    <row r="504" spans="1:6" ht="13.5" hidden="1" customHeight="1" x14ac:dyDescent="0.25">
      <c r="A504" s="38"/>
      <c r="B504" s="56"/>
      <c r="C504" s="56"/>
      <c r="D504" s="56"/>
      <c r="E504" s="56"/>
      <c r="F504" s="178"/>
    </row>
    <row r="505" spans="1:6" ht="13.5" hidden="1" customHeight="1" x14ac:dyDescent="0.25">
      <c r="A505" s="38"/>
      <c r="B505" s="56"/>
      <c r="C505" s="56"/>
      <c r="D505" s="56"/>
      <c r="E505" s="56"/>
      <c r="F505" s="178"/>
    </row>
    <row r="506" spans="1:6" ht="13.5" hidden="1" customHeight="1" x14ac:dyDescent="0.25">
      <c r="A506" s="38"/>
      <c r="B506" s="56"/>
      <c r="C506" s="56"/>
      <c r="D506" s="56"/>
      <c r="E506" s="56"/>
      <c r="F506" s="178"/>
    </row>
    <row r="507" spans="1:6" ht="13.5" hidden="1" customHeight="1" x14ac:dyDescent="0.25">
      <c r="A507" s="38"/>
      <c r="B507" s="56"/>
      <c r="C507" s="56"/>
      <c r="D507" s="56"/>
      <c r="E507" s="56"/>
      <c r="F507" s="178"/>
    </row>
    <row r="508" spans="1:6" ht="13.5" hidden="1" customHeight="1" x14ac:dyDescent="0.25">
      <c r="A508" s="38"/>
      <c r="B508" s="56"/>
      <c r="C508" s="56"/>
      <c r="D508" s="56"/>
      <c r="E508" s="56"/>
      <c r="F508" s="178"/>
    </row>
    <row r="509" spans="1:6" ht="13.5" hidden="1" customHeight="1" x14ac:dyDescent="0.25">
      <c r="A509" s="38"/>
      <c r="B509" s="56"/>
      <c r="C509" s="56"/>
      <c r="D509" s="56"/>
      <c r="E509" s="56"/>
      <c r="F509" s="178"/>
    </row>
    <row r="510" spans="1:6" ht="13.5" hidden="1" customHeight="1" x14ac:dyDescent="0.25">
      <c r="A510" s="38"/>
      <c r="B510" s="56"/>
      <c r="C510" s="56"/>
      <c r="D510" s="56"/>
      <c r="E510" s="56"/>
      <c r="F510" s="178"/>
    </row>
    <row r="511" spans="1:6" ht="13.5" hidden="1" customHeight="1" x14ac:dyDescent="0.25">
      <c r="A511" s="38"/>
      <c r="B511" s="56"/>
      <c r="C511" s="56"/>
      <c r="D511" s="56"/>
      <c r="E511" s="56"/>
      <c r="F511" s="178"/>
    </row>
    <row r="512" spans="1:6" ht="13.5" hidden="1" customHeight="1" x14ac:dyDescent="0.25">
      <c r="A512" s="38"/>
      <c r="B512" s="56"/>
      <c r="C512" s="56"/>
      <c r="D512" s="56"/>
      <c r="E512" s="56"/>
      <c r="F512" s="178"/>
    </row>
    <row r="513" spans="1:6" ht="13.5" hidden="1" customHeight="1" x14ac:dyDescent="0.25">
      <c r="A513" s="38"/>
      <c r="B513" s="56"/>
      <c r="C513" s="56"/>
      <c r="D513" s="56"/>
      <c r="E513" s="56"/>
      <c r="F513" s="178"/>
    </row>
    <row r="514" spans="1:6" ht="13.5" hidden="1" customHeight="1" x14ac:dyDescent="0.25">
      <c r="A514" s="38"/>
      <c r="B514" s="56"/>
      <c r="C514" s="56"/>
      <c r="D514" s="56"/>
      <c r="E514" s="56"/>
      <c r="F514" s="178"/>
    </row>
    <row r="515" spans="1:6" ht="13.5" hidden="1" customHeight="1" x14ac:dyDescent="0.25">
      <c r="A515" s="38"/>
      <c r="B515" s="56"/>
      <c r="C515" s="56"/>
      <c r="D515" s="56"/>
      <c r="E515" s="56"/>
      <c r="F515" s="178"/>
    </row>
    <row r="516" spans="1:6" ht="13.5" hidden="1" customHeight="1" x14ac:dyDescent="0.25">
      <c r="A516" s="38"/>
      <c r="B516" s="56"/>
      <c r="C516" s="56"/>
      <c r="D516" s="56"/>
      <c r="E516" s="56"/>
      <c r="F516" s="178"/>
    </row>
    <row r="517" spans="1:6" ht="13.5" hidden="1" customHeight="1" x14ac:dyDescent="0.25">
      <c r="A517" s="38"/>
      <c r="B517" s="56"/>
      <c r="C517" s="56"/>
      <c r="D517" s="56"/>
      <c r="E517" s="56"/>
      <c r="F517" s="178"/>
    </row>
    <row r="518" spans="1:6" ht="13.5" hidden="1" customHeight="1" x14ac:dyDescent="0.25">
      <c r="A518" s="38"/>
      <c r="B518" s="56"/>
      <c r="C518" s="56"/>
      <c r="D518" s="56"/>
      <c r="E518" s="56"/>
      <c r="F518" s="178"/>
    </row>
    <row r="519" spans="1:6" ht="13.5" hidden="1" customHeight="1" x14ac:dyDescent="0.25">
      <c r="A519" s="38"/>
      <c r="B519" s="56"/>
      <c r="C519" s="56"/>
      <c r="D519" s="56"/>
      <c r="E519" s="56"/>
      <c r="F519" s="178"/>
    </row>
    <row r="520" spans="1:6" ht="13.5" hidden="1" customHeight="1" x14ac:dyDescent="0.25">
      <c r="A520" s="38"/>
      <c r="B520" s="56"/>
      <c r="C520" s="56"/>
      <c r="D520" s="56"/>
      <c r="E520" s="56"/>
      <c r="F520" s="178"/>
    </row>
    <row r="521" spans="1:6" ht="13.5" hidden="1" customHeight="1" x14ac:dyDescent="0.25">
      <c r="A521" s="38"/>
      <c r="B521" s="56"/>
      <c r="C521" s="56"/>
      <c r="D521" s="56"/>
      <c r="E521" s="56"/>
      <c r="F521" s="178"/>
    </row>
    <row r="522" spans="1:6" ht="13.5" hidden="1" customHeight="1" x14ac:dyDescent="0.25">
      <c r="A522" s="38"/>
      <c r="B522" s="56"/>
      <c r="C522" s="56"/>
      <c r="D522" s="56"/>
      <c r="E522" s="56"/>
      <c r="F522" s="178"/>
    </row>
    <row r="523" spans="1:6" ht="13.5" hidden="1" customHeight="1" x14ac:dyDescent="0.25">
      <c r="A523" s="38"/>
      <c r="B523" s="56"/>
      <c r="C523" s="56"/>
      <c r="D523" s="56"/>
      <c r="E523" s="56"/>
      <c r="F523" s="178"/>
    </row>
    <row r="524" spans="1:6" ht="13.5" hidden="1" customHeight="1" x14ac:dyDescent="0.25">
      <c r="A524" s="38"/>
      <c r="B524" s="56"/>
      <c r="C524" s="56"/>
      <c r="D524" s="56"/>
      <c r="E524" s="56"/>
      <c r="F524" s="178"/>
    </row>
    <row r="525" spans="1:6" ht="13.5" hidden="1" customHeight="1" x14ac:dyDescent="0.25">
      <c r="A525" s="38"/>
      <c r="B525" s="56"/>
      <c r="C525" s="56"/>
      <c r="D525" s="56"/>
      <c r="E525" s="56"/>
      <c r="F525" s="178"/>
    </row>
    <row r="526" spans="1:6" ht="13.5" hidden="1" customHeight="1" x14ac:dyDescent="0.25">
      <c r="A526" s="38"/>
      <c r="B526" s="56"/>
      <c r="C526" s="56"/>
      <c r="D526" s="56"/>
      <c r="E526" s="56"/>
      <c r="F526" s="178"/>
    </row>
    <row r="527" spans="1:6" ht="13.5" hidden="1" customHeight="1" x14ac:dyDescent="0.25">
      <c r="A527" s="38"/>
      <c r="B527" s="56"/>
      <c r="C527" s="56"/>
      <c r="D527" s="56"/>
      <c r="E527" s="56"/>
      <c r="F527" s="178"/>
    </row>
    <row r="528" spans="1:6" ht="13.5" hidden="1" customHeight="1" x14ac:dyDescent="0.25">
      <c r="A528" s="38"/>
      <c r="B528" s="56"/>
      <c r="C528" s="56"/>
      <c r="D528" s="56"/>
      <c r="E528" s="56"/>
      <c r="F528" s="178"/>
    </row>
    <row r="529" spans="1:6" ht="13.5" hidden="1" customHeight="1" x14ac:dyDescent="0.25">
      <c r="A529" s="38"/>
      <c r="B529" s="56"/>
      <c r="C529" s="56"/>
      <c r="D529" s="56"/>
      <c r="E529" s="56"/>
      <c r="F529" s="178"/>
    </row>
    <row r="530" spans="1:6" ht="13.5" hidden="1" customHeight="1" x14ac:dyDescent="0.25">
      <c r="A530" s="38"/>
      <c r="B530" s="56"/>
      <c r="C530" s="56"/>
      <c r="D530" s="56"/>
      <c r="E530" s="56"/>
      <c r="F530" s="178"/>
    </row>
    <row r="531" spans="1:6" ht="13.5" hidden="1" customHeight="1" x14ac:dyDescent="0.25">
      <c r="A531" s="38"/>
      <c r="B531" s="56"/>
      <c r="C531" s="56"/>
      <c r="D531" s="56"/>
      <c r="E531" s="56"/>
      <c r="F531" s="178"/>
    </row>
    <row r="532" spans="1:6" ht="13.5" hidden="1" customHeight="1" x14ac:dyDescent="0.25">
      <c r="A532" s="38"/>
      <c r="B532" s="56"/>
      <c r="C532" s="56"/>
      <c r="D532" s="56"/>
      <c r="E532" s="56"/>
      <c r="F532" s="178"/>
    </row>
    <row r="533" spans="1:6" ht="13.5" hidden="1" customHeight="1" x14ac:dyDescent="0.25">
      <c r="A533" s="38"/>
      <c r="B533" s="56"/>
      <c r="C533" s="56"/>
      <c r="D533" s="56"/>
      <c r="E533" s="56"/>
      <c r="F533" s="178"/>
    </row>
    <row r="534" spans="1:6" ht="13.5" hidden="1" customHeight="1" x14ac:dyDescent="0.25">
      <c r="A534" s="38"/>
      <c r="B534" s="56"/>
      <c r="C534" s="56"/>
      <c r="D534" s="56"/>
      <c r="E534" s="56"/>
      <c r="F534" s="178"/>
    </row>
    <row r="535" spans="1:6" ht="13.5" hidden="1" customHeight="1" x14ac:dyDescent="0.25">
      <c r="A535" s="38"/>
      <c r="B535" s="56"/>
      <c r="C535" s="56"/>
      <c r="D535" s="56"/>
      <c r="E535" s="56"/>
      <c r="F535" s="178"/>
    </row>
    <row r="536" spans="1:6" ht="13.5" hidden="1" customHeight="1" x14ac:dyDescent="0.25">
      <c r="A536" s="38"/>
      <c r="B536" s="56"/>
      <c r="C536" s="56"/>
      <c r="D536" s="56"/>
      <c r="E536" s="56"/>
      <c r="F536" s="178"/>
    </row>
    <row r="537" spans="1:6" ht="13.5" hidden="1" customHeight="1" x14ac:dyDescent="0.25">
      <c r="A537" s="38"/>
      <c r="B537" s="56"/>
      <c r="C537" s="56"/>
      <c r="D537" s="56"/>
      <c r="E537" s="56"/>
      <c r="F537" s="178"/>
    </row>
    <row r="538" spans="1:6" ht="13.5" hidden="1" customHeight="1" x14ac:dyDescent="0.25">
      <c r="A538" s="38"/>
      <c r="B538" s="56"/>
      <c r="C538" s="56"/>
      <c r="D538" s="56"/>
      <c r="E538" s="56"/>
      <c r="F538" s="178"/>
    </row>
    <row r="539" spans="1:6" ht="13.5" hidden="1" customHeight="1" x14ac:dyDescent="0.25">
      <c r="A539" s="38"/>
      <c r="B539" s="56"/>
      <c r="C539" s="56"/>
      <c r="D539" s="56"/>
      <c r="E539" s="56"/>
      <c r="F539" s="178"/>
    </row>
    <row r="540" spans="1:6" ht="13.5" hidden="1" customHeight="1" x14ac:dyDescent="0.25">
      <c r="A540" s="38"/>
      <c r="B540" s="56"/>
      <c r="C540" s="56"/>
      <c r="D540" s="56"/>
      <c r="E540" s="56"/>
      <c r="F540" s="178"/>
    </row>
    <row r="541" spans="1:6" ht="13.5" hidden="1" customHeight="1" x14ac:dyDescent="0.25">
      <c r="A541" s="38"/>
      <c r="B541" s="56"/>
      <c r="C541" s="56"/>
      <c r="D541" s="56"/>
      <c r="E541" s="56"/>
      <c r="F541" s="178"/>
    </row>
    <row r="542" spans="1:6" ht="13.5" hidden="1" customHeight="1" x14ac:dyDescent="0.25">
      <c r="A542" s="38"/>
      <c r="B542" s="56"/>
      <c r="C542" s="56"/>
      <c r="D542" s="56"/>
      <c r="E542" s="56"/>
      <c r="F542" s="178"/>
    </row>
    <row r="543" spans="1:6" ht="13.5" hidden="1" customHeight="1" x14ac:dyDescent="0.25">
      <c r="A543" s="38"/>
      <c r="B543" s="56"/>
      <c r="C543" s="56"/>
      <c r="D543" s="56"/>
      <c r="E543" s="56"/>
      <c r="F543" s="178"/>
    </row>
    <row r="544" spans="1:6" ht="13.5" hidden="1" customHeight="1" x14ac:dyDescent="0.25">
      <c r="A544" s="38"/>
      <c r="B544" s="56"/>
      <c r="C544" s="56"/>
      <c r="D544" s="56"/>
      <c r="E544" s="56"/>
      <c r="F544" s="178"/>
    </row>
    <row r="545" spans="1:6" ht="13.5" hidden="1" customHeight="1" x14ac:dyDescent="0.25">
      <c r="A545" s="38"/>
      <c r="B545" s="56"/>
      <c r="C545" s="56"/>
      <c r="D545" s="56"/>
      <c r="E545" s="56"/>
      <c r="F545" s="178"/>
    </row>
    <row r="546" spans="1:6" ht="13.5" hidden="1" customHeight="1" x14ac:dyDescent="0.25">
      <c r="A546" s="38"/>
      <c r="B546" s="56"/>
      <c r="C546" s="56"/>
      <c r="D546" s="56"/>
      <c r="E546" s="56"/>
      <c r="F546" s="178"/>
    </row>
    <row r="547" spans="1:6" ht="13.5" hidden="1" customHeight="1" x14ac:dyDescent="0.25">
      <c r="A547" s="38"/>
      <c r="B547" s="56"/>
      <c r="C547" s="56"/>
      <c r="D547" s="56"/>
      <c r="E547" s="56"/>
      <c r="F547" s="178"/>
    </row>
    <row r="548" spans="1:6" ht="13.5" hidden="1" customHeight="1" x14ac:dyDescent="0.25">
      <c r="A548" s="38"/>
      <c r="B548" s="56"/>
      <c r="C548" s="56"/>
      <c r="D548" s="56"/>
      <c r="E548" s="56"/>
      <c r="F548" s="178"/>
    </row>
    <row r="549" spans="1:6" ht="13.5" hidden="1" customHeight="1" x14ac:dyDescent="0.25">
      <c r="A549" s="38"/>
      <c r="B549" s="56"/>
      <c r="C549" s="56"/>
      <c r="D549" s="56"/>
      <c r="E549" s="56"/>
      <c r="F549" s="178"/>
    </row>
    <row r="550" spans="1:6" ht="13.5" hidden="1" customHeight="1" x14ac:dyDescent="0.25">
      <c r="A550" s="38"/>
      <c r="B550" s="56"/>
      <c r="C550" s="56"/>
      <c r="D550" s="56"/>
      <c r="E550" s="56"/>
      <c r="F550" s="178"/>
    </row>
    <row r="551" spans="1:6" ht="13.5" hidden="1" customHeight="1" x14ac:dyDescent="0.25">
      <c r="A551" s="38"/>
      <c r="B551" s="56"/>
      <c r="C551" s="56"/>
      <c r="D551" s="56"/>
      <c r="E551" s="56"/>
      <c r="F551" s="178"/>
    </row>
    <row r="552" spans="1:6" ht="13.5" hidden="1" customHeight="1" x14ac:dyDescent="0.25">
      <c r="A552" s="38"/>
      <c r="B552" s="56"/>
      <c r="C552" s="56"/>
      <c r="D552" s="56"/>
      <c r="E552" s="56"/>
      <c r="F552" s="178"/>
    </row>
    <row r="553" spans="1:6" ht="13.5" hidden="1" customHeight="1" x14ac:dyDescent="0.25">
      <c r="A553" s="38"/>
      <c r="B553" s="56"/>
      <c r="C553" s="56"/>
      <c r="D553" s="56"/>
      <c r="E553" s="56"/>
      <c r="F553" s="178"/>
    </row>
    <row r="554" spans="1:6" ht="13.5" hidden="1" customHeight="1" x14ac:dyDescent="0.25">
      <c r="A554" s="38"/>
      <c r="B554" s="56"/>
      <c r="C554" s="56"/>
      <c r="D554" s="56"/>
      <c r="E554" s="56"/>
      <c r="F554" s="178"/>
    </row>
    <row r="555" spans="1:6" ht="13.5" hidden="1" customHeight="1" x14ac:dyDescent="0.25">
      <c r="A555" s="38"/>
      <c r="B555" s="56"/>
      <c r="C555" s="56"/>
      <c r="D555" s="56"/>
      <c r="E555" s="56"/>
      <c r="F555" s="178"/>
    </row>
    <row r="556" spans="1:6" ht="13.5" hidden="1" customHeight="1" x14ac:dyDescent="0.25">
      <c r="A556" s="38"/>
      <c r="B556" s="56"/>
      <c r="C556" s="56"/>
      <c r="D556" s="56"/>
      <c r="E556" s="56"/>
      <c r="F556" s="178"/>
    </row>
    <row r="557" spans="1:6" ht="13.5" hidden="1" customHeight="1" x14ac:dyDescent="0.25">
      <c r="A557" s="38"/>
      <c r="B557" s="56"/>
      <c r="C557" s="56"/>
      <c r="D557" s="56"/>
      <c r="E557" s="56"/>
      <c r="F557" s="178"/>
    </row>
    <row r="558" spans="1:6" ht="13.5" hidden="1" customHeight="1" x14ac:dyDescent="0.25">
      <c r="A558" s="38"/>
      <c r="B558" s="56"/>
      <c r="C558" s="56"/>
      <c r="D558" s="56"/>
      <c r="E558" s="56"/>
      <c r="F558" s="178"/>
    </row>
    <row r="559" spans="1:6" ht="13.5" hidden="1" customHeight="1" x14ac:dyDescent="0.25">
      <c r="A559" s="38"/>
      <c r="B559" s="56"/>
      <c r="C559" s="56"/>
      <c r="D559" s="56"/>
      <c r="E559" s="56"/>
      <c r="F559" s="178"/>
    </row>
    <row r="560" spans="1:6" ht="13.5" hidden="1" customHeight="1" x14ac:dyDescent="0.25">
      <c r="A560" s="38"/>
      <c r="B560" s="56"/>
      <c r="C560" s="56"/>
      <c r="D560" s="56"/>
      <c r="E560" s="56"/>
      <c r="F560" s="178"/>
    </row>
    <row r="561" spans="1:6" ht="13.5" hidden="1" customHeight="1" x14ac:dyDescent="0.25">
      <c r="A561" s="38"/>
      <c r="B561" s="56"/>
      <c r="C561" s="56"/>
      <c r="D561" s="56"/>
      <c r="E561" s="56"/>
      <c r="F561" s="178"/>
    </row>
    <row r="562" spans="1:6" ht="13.5" hidden="1" customHeight="1" x14ac:dyDescent="0.25">
      <c r="A562" s="38"/>
      <c r="B562" s="56"/>
      <c r="C562" s="56"/>
      <c r="D562" s="56"/>
      <c r="E562" s="56"/>
      <c r="F562" s="178"/>
    </row>
    <row r="563" spans="1:6" ht="13.5" hidden="1" customHeight="1" x14ac:dyDescent="0.25">
      <c r="A563" s="38"/>
      <c r="B563" s="56"/>
      <c r="C563" s="56"/>
      <c r="D563" s="56"/>
      <c r="E563" s="56"/>
      <c r="F563" s="178"/>
    </row>
    <row r="564" spans="1:6" ht="13.5" hidden="1" customHeight="1" x14ac:dyDescent="0.25">
      <c r="A564" s="38"/>
      <c r="B564" s="56"/>
      <c r="C564" s="56"/>
      <c r="D564" s="56"/>
      <c r="E564" s="56"/>
      <c r="F564" s="178"/>
    </row>
    <row r="565" spans="1:6" ht="13.5" hidden="1" customHeight="1" x14ac:dyDescent="0.25">
      <c r="A565" s="38"/>
      <c r="B565" s="56"/>
      <c r="C565" s="56"/>
      <c r="D565" s="56"/>
      <c r="E565" s="56"/>
      <c r="F565" s="178"/>
    </row>
    <row r="566" spans="1:6" ht="13.5" hidden="1" customHeight="1" x14ac:dyDescent="0.25">
      <c r="A566" s="38"/>
      <c r="B566" s="56"/>
      <c r="C566" s="56"/>
      <c r="D566" s="56"/>
      <c r="E566" s="56"/>
      <c r="F566" s="178"/>
    </row>
    <row r="567" spans="1:6" ht="13.5" hidden="1" customHeight="1" x14ac:dyDescent="0.25">
      <c r="A567" s="38"/>
      <c r="B567" s="56"/>
      <c r="C567" s="56"/>
      <c r="D567" s="56"/>
      <c r="E567" s="56"/>
      <c r="F567" s="178"/>
    </row>
    <row r="568" spans="1:6" ht="13.5" hidden="1" customHeight="1" x14ac:dyDescent="0.25">
      <c r="A568" s="38"/>
      <c r="B568" s="56"/>
      <c r="C568" s="56"/>
      <c r="D568" s="56"/>
      <c r="E568" s="56"/>
      <c r="F568" s="178"/>
    </row>
    <row r="569" spans="1:6" ht="13.5" hidden="1" customHeight="1" x14ac:dyDescent="0.25">
      <c r="A569" s="38"/>
      <c r="B569" s="56"/>
      <c r="C569" s="56"/>
      <c r="D569" s="56"/>
      <c r="E569" s="56"/>
      <c r="F569" s="178"/>
    </row>
    <row r="570" spans="1:6" ht="13.5" hidden="1" customHeight="1" x14ac:dyDescent="0.25">
      <c r="A570" s="38"/>
      <c r="B570" s="56"/>
      <c r="C570" s="56"/>
      <c r="D570" s="56"/>
      <c r="E570" s="56"/>
      <c r="F570" s="178"/>
    </row>
    <row r="571" spans="1:6" ht="13.5" hidden="1" customHeight="1" x14ac:dyDescent="0.25">
      <c r="A571" s="38"/>
      <c r="B571" s="56"/>
      <c r="C571" s="56"/>
      <c r="D571" s="56"/>
      <c r="E571" s="56"/>
      <c r="F571" s="178"/>
    </row>
    <row r="572" spans="1:6" ht="13.5" hidden="1" customHeight="1" x14ac:dyDescent="0.25">
      <c r="A572" s="38"/>
      <c r="B572" s="56"/>
      <c r="C572" s="56"/>
      <c r="D572" s="56"/>
      <c r="E572" s="56"/>
      <c r="F572" s="178"/>
    </row>
    <row r="573" spans="1:6" ht="13.5" hidden="1" customHeight="1" x14ac:dyDescent="0.25">
      <c r="A573" s="38"/>
      <c r="B573" s="56"/>
      <c r="C573" s="56"/>
      <c r="D573" s="56"/>
      <c r="E573" s="56"/>
      <c r="F573" s="178"/>
    </row>
    <row r="574" spans="1:6" ht="13.5" hidden="1" customHeight="1" x14ac:dyDescent="0.25">
      <c r="A574" s="38"/>
      <c r="B574" s="56"/>
      <c r="C574" s="56"/>
      <c r="D574" s="56"/>
      <c r="E574" s="56"/>
      <c r="F574" s="178"/>
    </row>
    <row r="575" spans="1:6" ht="13.5" hidden="1" customHeight="1" x14ac:dyDescent="0.25">
      <c r="A575" s="38"/>
      <c r="B575" s="56"/>
      <c r="C575" s="56"/>
      <c r="D575" s="56"/>
      <c r="E575" s="56"/>
      <c r="F575" s="178"/>
    </row>
    <row r="576" spans="1:6" ht="13.5" hidden="1" customHeight="1" x14ac:dyDescent="0.25">
      <c r="A576" s="38"/>
      <c r="B576" s="56"/>
      <c r="C576" s="56"/>
      <c r="D576" s="56"/>
      <c r="E576" s="56"/>
      <c r="F576" s="178"/>
    </row>
    <row r="577" spans="1:6" ht="13.5" hidden="1" customHeight="1" x14ac:dyDescent="0.25">
      <c r="A577" s="38"/>
      <c r="B577" s="56"/>
      <c r="C577" s="56"/>
      <c r="D577" s="56"/>
      <c r="E577" s="56"/>
      <c r="F577" s="178"/>
    </row>
    <row r="578" spans="1:6" ht="13.5" hidden="1" customHeight="1" x14ac:dyDescent="0.25">
      <c r="A578" s="38"/>
      <c r="B578" s="56"/>
      <c r="C578" s="56"/>
      <c r="D578" s="56"/>
      <c r="E578" s="56"/>
      <c r="F578" s="178"/>
    </row>
    <row r="579" spans="1:6" ht="13.5" hidden="1" customHeight="1" x14ac:dyDescent="0.25">
      <c r="A579" s="38"/>
      <c r="B579" s="56"/>
      <c r="C579" s="56"/>
      <c r="D579" s="56"/>
      <c r="E579" s="56"/>
      <c r="F579" s="178"/>
    </row>
    <row r="580" spans="1:6" ht="13.5" hidden="1" customHeight="1" x14ac:dyDescent="0.25">
      <c r="A580" s="38"/>
      <c r="B580" s="56"/>
      <c r="C580" s="56"/>
      <c r="D580" s="56"/>
      <c r="E580" s="56"/>
      <c r="F580" s="178"/>
    </row>
    <row r="581" spans="1:6" ht="13.5" hidden="1" customHeight="1" x14ac:dyDescent="0.25">
      <c r="A581" s="38"/>
      <c r="B581" s="56"/>
      <c r="C581" s="56"/>
      <c r="D581" s="56"/>
      <c r="E581" s="56"/>
      <c r="F581" s="178"/>
    </row>
    <row r="582" spans="1:6" ht="13.5" hidden="1" customHeight="1" x14ac:dyDescent="0.25">
      <c r="A582" s="38"/>
      <c r="B582" s="56"/>
      <c r="C582" s="56"/>
      <c r="D582" s="56"/>
      <c r="E582" s="56"/>
      <c r="F582" s="178"/>
    </row>
    <row r="583" spans="1:6" ht="13.5" hidden="1" customHeight="1" x14ac:dyDescent="0.25">
      <c r="A583" s="38"/>
      <c r="B583" s="56"/>
      <c r="C583" s="56"/>
      <c r="D583" s="56"/>
      <c r="E583" s="56"/>
      <c r="F583" s="178"/>
    </row>
    <row r="584" spans="1:6" ht="13.5" hidden="1" customHeight="1" x14ac:dyDescent="0.25">
      <c r="A584" s="38"/>
      <c r="B584" s="56"/>
      <c r="C584" s="56"/>
      <c r="D584" s="56"/>
      <c r="E584" s="56"/>
      <c r="F584" s="178"/>
    </row>
    <row r="585" spans="1:6" ht="13.5" hidden="1" customHeight="1" x14ac:dyDescent="0.25">
      <c r="A585" s="38"/>
      <c r="B585" s="56"/>
      <c r="C585" s="56"/>
      <c r="D585" s="56"/>
      <c r="E585" s="56"/>
      <c r="F585" s="178"/>
    </row>
    <row r="586" spans="1:6" ht="13.5" hidden="1" customHeight="1" x14ac:dyDescent="0.25">
      <c r="A586" s="38"/>
      <c r="B586" s="56"/>
      <c r="C586" s="56"/>
      <c r="D586" s="56"/>
      <c r="E586" s="56"/>
      <c r="F586" s="178"/>
    </row>
    <row r="587" spans="1:6" ht="13.5" hidden="1" customHeight="1" x14ac:dyDescent="0.25">
      <c r="A587" s="38"/>
      <c r="B587" s="56"/>
      <c r="C587" s="56"/>
      <c r="D587" s="56"/>
      <c r="E587" s="56"/>
      <c r="F587" s="178"/>
    </row>
    <row r="588" spans="1:6" ht="13.5" hidden="1" customHeight="1" x14ac:dyDescent="0.25">
      <c r="A588" s="38"/>
      <c r="B588" s="56"/>
      <c r="C588" s="56"/>
      <c r="D588" s="56"/>
      <c r="E588" s="56"/>
      <c r="F588" s="178"/>
    </row>
    <row r="589" spans="1:6" ht="13.5" hidden="1" customHeight="1" x14ac:dyDescent="0.25">
      <c r="A589" s="38"/>
      <c r="B589" s="56"/>
      <c r="C589" s="56"/>
      <c r="D589" s="56"/>
      <c r="E589" s="56"/>
      <c r="F589" s="178"/>
    </row>
    <row r="590" spans="1:6" ht="13.5" hidden="1" customHeight="1" x14ac:dyDescent="0.25">
      <c r="A590" s="38"/>
      <c r="B590" s="56"/>
      <c r="C590" s="56"/>
      <c r="D590" s="56"/>
      <c r="E590" s="56"/>
      <c r="F590" s="178"/>
    </row>
    <row r="591" spans="1:6" ht="13.5" hidden="1" customHeight="1" x14ac:dyDescent="0.25">
      <c r="A591" s="38"/>
      <c r="B591" s="56"/>
      <c r="C591" s="56"/>
      <c r="D591" s="56"/>
      <c r="E591" s="56"/>
      <c r="F591" s="178"/>
    </row>
    <row r="592" spans="1:6" ht="13.5" hidden="1" customHeight="1" x14ac:dyDescent="0.25">
      <c r="A592" s="38"/>
      <c r="B592" s="56"/>
      <c r="C592" s="56"/>
      <c r="D592" s="56"/>
      <c r="E592" s="56"/>
      <c r="F592" s="178"/>
    </row>
    <row r="593" spans="1:6" ht="13.5" hidden="1" customHeight="1" x14ac:dyDescent="0.25">
      <c r="A593" s="38"/>
      <c r="B593" s="56"/>
      <c r="C593" s="56"/>
      <c r="D593" s="56"/>
      <c r="E593" s="56"/>
      <c r="F593" s="178"/>
    </row>
    <row r="594" spans="1:6" ht="13.5" hidden="1" customHeight="1" x14ac:dyDescent="0.25">
      <c r="A594" s="38"/>
      <c r="B594" s="56"/>
      <c r="C594" s="56"/>
      <c r="D594" s="56"/>
      <c r="E594" s="56"/>
      <c r="F594" s="178"/>
    </row>
    <row r="595" spans="1:6" ht="13.5" hidden="1" customHeight="1" x14ac:dyDescent="0.25">
      <c r="A595" s="38"/>
      <c r="B595" s="56"/>
      <c r="C595" s="56"/>
      <c r="D595" s="56"/>
      <c r="E595" s="56"/>
      <c r="F595" s="178"/>
    </row>
    <row r="596" spans="1:6" ht="13.5" hidden="1" customHeight="1" x14ac:dyDescent="0.25">
      <c r="A596" s="38"/>
      <c r="B596" s="56"/>
      <c r="C596" s="56"/>
      <c r="D596" s="56"/>
      <c r="E596" s="56"/>
      <c r="F596" s="178"/>
    </row>
    <row r="597" spans="1:6" ht="13.5" hidden="1" customHeight="1" x14ac:dyDescent="0.25">
      <c r="A597" s="38"/>
      <c r="B597" s="56"/>
      <c r="C597" s="56"/>
      <c r="D597" s="56"/>
      <c r="E597" s="56"/>
      <c r="F597" s="178"/>
    </row>
    <row r="598" spans="1:6" ht="13.5" hidden="1" customHeight="1" x14ac:dyDescent="0.25">
      <c r="A598" s="38"/>
      <c r="B598" s="56"/>
      <c r="C598" s="56"/>
      <c r="D598" s="56"/>
      <c r="E598" s="56"/>
      <c r="F598" s="178"/>
    </row>
    <row r="599" spans="1:6" ht="13.5" hidden="1" customHeight="1" x14ac:dyDescent="0.25">
      <c r="A599" s="38"/>
      <c r="B599" s="56"/>
      <c r="C599" s="56"/>
      <c r="D599" s="56"/>
      <c r="E599" s="56"/>
      <c r="F599" s="178"/>
    </row>
    <row r="600" spans="1:6" ht="13.5" hidden="1" customHeight="1" x14ac:dyDescent="0.25">
      <c r="A600" s="38"/>
      <c r="B600" s="56"/>
      <c r="C600" s="56"/>
      <c r="D600" s="56"/>
      <c r="E600" s="56"/>
      <c r="F600" s="178"/>
    </row>
    <row r="601" spans="1:6" ht="13.5" hidden="1" customHeight="1" x14ac:dyDescent="0.25">
      <c r="A601" s="38"/>
      <c r="B601" s="56"/>
      <c r="C601" s="56"/>
      <c r="D601" s="56"/>
      <c r="E601" s="56"/>
      <c r="F601" s="178"/>
    </row>
    <row r="602" spans="1:6" ht="13.5" hidden="1" customHeight="1" x14ac:dyDescent="0.25">
      <c r="A602" s="38"/>
      <c r="B602" s="56"/>
      <c r="C602" s="56"/>
      <c r="D602" s="56"/>
      <c r="E602" s="56"/>
      <c r="F602" s="178"/>
    </row>
    <row r="603" spans="1:6" ht="13.5" hidden="1" customHeight="1" x14ac:dyDescent="0.25">
      <c r="A603" s="38"/>
      <c r="B603" s="56"/>
      <c r="C603" s="56"/>
      <c r="D603" s="56"/>
      <c r="E603" s="56"/>
      <c r="F603" s="178"/>
    </row>
    <row r="604" spans="1:6" ht="13.5" hidden="1" customHeight="1" x14ac:dyDescent="0.25">
      <c r="A604" s="38"/>
      <c r="B604" s="56"/>
      <c r="C604" s="56"/>
      <c r="D604" s="56"/>
      <c r="E604" s="56"/>
      <c r="F604" s="178"/>
    </row>
    <row r="605" spans="1:6" ht="13.5" hidden="1" customHeight="1" x14ac:dyDescent="0.25">
      <c r="A605" s="38"/>
      <c r="B605" s="56"/>
      <c r="C605" s="56"/>
      <c r="D605" s="56"/>
      <c r="E605" s="56"/>
      <c r="F605" s="178"/>
    </row>
    <row r="606" spans="1:6" ht="13.5" hidden="1" customHeight="1" x14ac:dyDescent="0.25">
      <c r="A606" s="38"/>
      <c r="B606" s="56"/>
      <c r="C606" s="56"/>
      <c r="D606" s="56"/>
      <c r="E606" s="56"/>
      <c r="F606" s="178"/>
    </row>
    <row r="607" spans="1:6" ht="13.5" hidden="1" customHeight="1" x14ac:dyDescent="0.25">
      <c r="A607" s="38"/>
      <c r="B607" s="56"/>
      <c r="C607" s="56"/>
      <c r="D607" s="56"/>
      <c r="E607" s="56"/>
      <c r="F607" s="178"/>
    </row>
    <row r="608" spans="1:6" ht="13.5" hidden="1" customHeight="1" x14ac:dyDescent="0.25">
      <c r="A608" s="38"/>
      <c r="B608" s="56"/>
      <c r="C608" s="56"/>
      <c r="D608" s="56"/>
      <c r="E608" s="56"/>
      <c r="F608" s="178"/>
    </row>
    <row r="609" spans="1:6" ht="13.5" hidden="1" customHeight="1" x14ac:dyDescent="0.25">
      <c r="A609" s="38"/>
      <c r="B609" s="56"/>
      <c r="C609" s="56"/>
      <c r="D609" s="56"/>
      <c r="E609" s="56"/>
      <c r="F609" s="178"/>
    </row>
    <row r="610" spans="1:6" ht="13.5" hidden="1" customHeight="1" x14ac:dyDescent="0.25">
      <c r="A610" s="38"/>
      <c r="B610" s="56"/>
      <c r="C610" s="56"/>
      <c r="D610" s="56"/>
      <c r="E610" s="56"/>
      <c r="F610" s="178"/>
    </row>
    <row r="611" spans="1:6" ht="13.5" hidden="1" customHeight="1" x14ac:dyDescent="0.25">
      <c r="A611" s="38"/>
      <c r="B611" s="56"/>
      <c r="C611" s="56"/>
      <c r="D611" s="56"/>
      <c r="E611" s="56"/>
      <c r="F611" s="178"/>
    </row>
    <row r="612" spans="1:6" ht="13.5" hidden="1" customHeight="1" x14ac:dyDescent="0.25">
      <c r="A612" s="38"/>
      <c r="B612" s="56"/>
      <c r="C612" s="56"/>
      <c r="D612" s="56"/>
      <c r="E612" s="56"/>
      <c r="F612" s="178"/>
    </row>
    <row r="613" spans="1:6" ht="13.5" hidden="1" customHeight="1" x14ac:dyDescent="0.25">
      <c r="A613" s="38"/>
      <c r="B613" s="56"/>
      <c r="C613" s="56"/>
      <c r="D613" s="56"/>
      <c r="E613" s="56"/>
      <c r="F613" s="178"/>
    </row>
    <row r="614" spans="1:6" ht="13.5" hidden="1" customHeight="1" x14ac:dyDescent="0.25">
      <c r="A614" s="38"/>
      <c r="B614" s="56"/>
      <c r="C614" s="56"/>
      <c r="D614" s="56"/>
      <c r="E614" s="56"/>
      <c r="F614" s="178"/>
    </row>
    <row r="615" spans="1:6" ht="13.5" hidden="1" customHeight="1" x14ac:dyDescent="0.25">
      <c r="A615" s="38"/>
      <c r="B615" s="56"/>
      <c r="C615" s="56"/>
      <c r="D615" s="56"/>
      <c r="E615" s="56"/>
      <c r="F615" s="178"/>
    </row>
    <row r="616" spans="1:6" ht="13.5" hidden="1" customHeight="1" x14ac:dyDescent="0.25">
      <c r="A616" s="38"/>
      <c r="B616" s="56"/>
      <c r="C616" s="56"/>
      <c r="D616" s="56"/>
      <c r="E616" s="56"/>
      <c r="F616" s="178"/>
    </row>
    <row r="617" spans="1:6" ht="13.5" hidden="1" customHeight="1" x14ac:dyDescent="0.25">
      <c r="A617" s="38"/>
      <c r="B617" s="56"/>
      <c r="C617" s="56"/>
      <c r="D617" s="56"/>
      <c r="E617" s="56"/>
      <c r="F617" s="178"/>
    </row>
    <row r="618" spans="1:6" ht="13.5" hidden="1" customHeight="1" x14ac:dyDescent="0.25">
      <c r="A618" s="38"/>
      <c r="B618" s="56"/>
      <c r="C618" s="56"/>
      <c r="D618" s="56"/>
      <c r="E618" s="56"/>
      <c r="F618" s="178"/>
    </row>
    <row r="619" spans="1:6" ht="13.5" hidden="1" customHeight="1" x14ac:dyDescent="0.25">
      <c r="A619" s="38"/>
      <c r="B619" s="56"/>
      <c r="C619" s="56"/>
      <c r="D619" s="56"/>
      <c r="E619" s="56"/>
      <c r="F619" s="178"/>
    </row>
    <row r="620" spans="1:6" ht="13.5" hidden="1" customHeight="1" x14ac:dyDescent="0.25">
      <c r="A620" s="38"/>
      <c r="B620" s="56"/>
      <c r="C620" s="56"/>
      <c r="D620" s="56"/>
      <c r="E620" s="56"/>
      <c r="F620" s="178"/>
    </row>
    <row r="621" spans="1:6" ht="13.5" hidden="1" customHeight="1" x14ac:dyDescent="0.25">
      <c r="A621" s="38"/>
      <c r="B621" s="56"/>
      <c r="C621" s="56"/>
      <c r="D621" s="56"/>
      <c r="E621" s="56"/>
      <c r="F621" s="178"/>
    </row>
    <row r="622" spans="1:6" ht="13.5" hidden="1" customHeight="1" x14ac:dyDescent="0.25">
      <c r="A622" s="38"/>
      <c r="B622" s="56"/>
      <c r="C622" s="56"/>
      <c r="D622" s="56"/>
      <c r="E622" s="56"/>
      <c r="F622" s="178"/>
    </row>
    <row r="623" spans="1:6" ht="13.5" hidden="1" customHeight="1" x14ac:dyDescent="0.25">
      <c r="A623" s="38"/>
      <c r="B623" s="56"/>
      <c r="C623" s="56"/>
      <c r="D623" s="56"/>
      <c r="E623" s="56"/>
      <c r="F623" s="178"/>
    </row>
    <row r="624" spans="1:6" ht="13.5" hidden="1" customHeight="1" x14ac:dyDescent="0.25">
      <c r="A624" s="38"/>
      <c r="B624" s="56"/>
      <c r="C624" s="56"/>
      <c r="D624" s="56"/>
      <c r="E624" s="56"/>
      <c r="F624" s="178"/>
    </row>
    <row r="625" spans="1:6" ht="13.5" hidden="1" customHeight="1" x14ac:dyDescent="0.25">
      <c r="A625" s="38"/>
      <c r="B625" s="56"/>
      <c r="C625" s="56"/>
      <c r="D625" s="56"/>
      <c r="E625" s="56"/>
      <c r="F625" s="178"/>
    </row>
    <row r="626" spans="1:6" ht="13.5" hidden="1" customHeight="1" x14ac:dyDescent="0.25">
      <c r="A626" s="38"/>
      <c r="B626" s="56"/>
      <c r="C626" s="56"/>
      <c r="D626" s="56"/>
      <c r="E626" s="56"/>
      <c r="F626" s="178"/>
    </row>
    <row r="627" spans="1:6" ht="13.5" hidden="1" customHeight="1" x14ac:dyDescent="0.25">
      <c r="A627" s="38"/>
      <c r="B627" s="56"/>
      <c r="C627" s="56"/>
      <c r="D627" s="56"/>
      <c r="E627" s="56"/>
      <c r="F627" s="178"/>
    </row>
    <row r="628" spans="1:6" ht="13.5" hidden="1" customHeight="1" x14ac:dyDescent="0.25">
      <c r="A628" s="38"/>
      <c r="B628" s="56"/>
      <c r="C628" s="56"/>
      <c r="D628" s="56"/>
      <c r="E628" s="56"/>
      <c r="F628" s="178"/>
    </row>
    <row r="629" spans="1:6" ht="13.5" hidden="1" customHeight="1" x14ac:dyDescent="0.25">
      <c r="A629" s="38"/>
      <c r="B629" s="56"/>
      <c r="C629" s="56"/>
      <c r="D629" s="56"/>
      <c r="E629" s="56"/>
      <c r="F629" s="178"/>
    </row>
    <row r="630" spans="1:6" ht="13.5" hidden="1" customHeight="1" x14ac:dyDescent="0.25">
      <c r="A630" s="38"/>
      <c r="B630" s="56"/>
      <c r="C630" s="56"/>
      <c r="D630" s="56"/>
      <c r="E630" s="56"/>
      <c r="F630" s="178"/>
    </row>
    <row r="631" spans="1:6" ht="13.5" hidden="1" customHeight="1" x14ac:dyDescent="0.25">
      <c r="A631" s="38"/>
      <c r="B631" s="56"/>
      <c r="C631" s="56"/>
      <c r="D631" s="56"/>
      <c r="E631" s="56"/>
      <c r="F631" s="178"/>
    </row>
    <row r="632" spans="1:6" ht="13.5" hidden="1" customHeight="1" x14ac:dyDescent="0.25">
      <c r="A632" s="38"/>
      <c r="B632" s="56"/>
      <c r="C632" s="56"/>
      <c r="D632" s="56"/>
      <c r="E632" s="56"/>
      <c r="F632" s="178"/>
    </row>
    <row r="633" spans="1:6" ht="13.5" hidden="1" customHeight="1" x14ac:dyDescent="0.25">
      <c r="A633" s="38"/>
      <c r="B633" s="56"/>
      <c r="C633" s="56"/>
      <c r="D633" s="56"/>
      <c r="E633" s="56"/>
      <c r="F633" s="178"/>
    </row>
    <row r="634" spans="1:6" ht="13.5" hidden="1" customHeight="1" x14ac:dyDescent="0.25">
      <c r="A634" s="38"/>
      <c r="B634" s="56"/>
      <c r="C634" s="56"/>
      <c r="D634" s="56"/>
      <c r="E634" s="56"/>
      <c r="F634" s="178"/>
    </row>
    <row r="635" spans="1:6" ht="13.5" hidden="1" customHeight="1" x14ac:dyDescent="0.25">
      <c r="A635" s="38"/>
      <c r="B635" s="56"/>
      <c r="C635" s="56"/>
      <c r="D635" s="56"/>
      <c r="E635" s="56"/>
      <c r="F635" s="178"/>
    </row>
    <row r="636" spans="1:6" ht="13.5" hidden="1" customHeight="1" x14ac:dyDescent="0.25">
      <c r="A636" s="38"/>
      <c r="B636" s="56"/>
      <c r="C636" s="56"/>
      <c r="D636" s="56"/>
      <c r="E636" s="56"/>
      <c r="F636" s="178"/>
    </row>
    <row r="637" spans="1:6" ht="13.5" hidden="1" customHeight="1" x14ac:dyDescent="0.25">
      <c r="A637" s="38"/>
      <c r="B637" s="56"/>
      <c r="C637" s="56"/>
      <c r="D637" s="56"/>
      <c r="E637" s="56"/>
      <c r="F637" s="178"/>
    </row>
    <row r="638" spans="1:6" ht="13.5" hidden="1" customHeight="1" x14ac:dyDescent="0.25">
      <c r="A638" s="38"/>
      <c r="B638" s="56"/>
      <c r="C638" s="56"/>
      <c r="D638" s="56"/>
      <c r="E638" s="56"/>
      <c r="F638" s="178"/>
    </row>
    <row r="639" spans="1:6" ht="13.5" hidden="1" customHeight="1" x14ac:dyDescent="0.25">
      <c r="A639" s="38"/>
      <c r="B639" s="56"/>
      <c r="C639" s="56"/>
      <c r="D639" s="56"/>
      <c r="E639" s="56"/>
      <c r="F639" s="178"/>
    </row>
    <row r="640" spans="1:6" ht="13.5" hidden="1" customHeight="1" x14ac:dyDescent="0.25">
      <c r="A640" s="38"/>
      <c r="B640" s="56"/>
      <c r="C640" s="56"/>
      <c r="D640" s="56"/>
      <c r="E640" s="56"/>
      <c r="F640" s="178"/>
    </row>
    <row r="641" spans="1:6" ht="13.5" hidden="1" customHeight="1" x14ac:dyDescent="0.25">
      <c r="A641" s="38"/>
      <c r="B641" s="56"/>
      <c r="C641" s="56"/>
      <c r="D641" s="56"/>
      <c r="E641" s="56"/>
      <c r="F641" s="178"/>
    </row>
    <row r="642" spans="1:6" ht="13.5" hidden="1" customHeight="1" x14ac:dyDescent="0.25">
      <c r="A642" s="38"/>
      <c r="B642" s="56"/>
      <c r="C642" s="56"/>
      <c r="D642" s="56"/>
      <c r="E642" s="56"/>
      <c r="F642" s="178"/>
    </row>
    <row r="643" spans="1:6" ht="13.5" hidden="1" customHeight="1" x14ac:dyDescent="0.25">
      <c r="A643" s="38"/>
      <c r="B643" s="56"/>
      <c r="C643" s="56"/>
      <c r="D643" s="56"/>
      <c r="E643" s="56"/>
      <c r="F643" s="178"/>
    </row>
    <row r="644" spans="1:6" ht="13.5" hidden="1" customHeight="1" x14ac:dyDescent="0.25">
      <c r="A644" s="38"/>
      <c r="B644" s="56"/>
      <c r="C644" s="56"/>
      <c r="D644" s="56"/>
      <c r="E644" s="56"/>
      <c r="F644" s="178"/>
    </row>
    <row r="645" spans="1:6" ht="13.5" hidden="1" customHeight="1" x14ac:dyDescent="0.25">
      <c r="A645" s="38"/>
      <c r="B645" s="56"/>
      <c r="C645" s="56"/>
      <c r="D645" s="56"/>
      <c r="E645" s="56"/>
      <c r="F645" s="178"/>
    </row>
    <row r="646" spans="1:6" ht="13.5" hidden="1" customHeight="1" x14ac:dyDescent="0.25">
      <c r="A646" s="38"/>
      <c r="B646" s="56"/>
      <c r="C646" s="56"/>
      <c r="D646" s="56"/>
      <c r="E646" s="56"/>
      <c r="F646" s="178"/>
    </row>
    <row r="647" spans="1:6" ht="13.5" hidden="1" customHeight="1" x14ac:dyDescent="0.25">
      <c r="A647" s="38"/>
      <c r="B647" s="56"/>
      <c r="C647" s="56"/>
      <c r="D647" s="56"/>
      <c r="E647" s="56"/>
      <c r="F647" s="178"/>
    </row>
    <row r="648" spans="1:6" ht="13.5" hidden="1" customHeight="1" x14ac:dyDescent="0.25">
      <c r="A648" s="38"/>
      <c r="B648" s="56"/>
      <c r="C648" s="56"/>
      <c r="D648" s="56"/>
      <c r="E648" s="56"/>
      <c r="F648" s="178"/>
    </row>
    <row r="649" spans="1:6" ht="13.5" hidden="1" customHeight="1" x14ac:dyDescent="0.25">
      <c r="A649" s="38"/>
      <c r="B649" s="56"/>
      <c r="C649" s="56"/>
      <c r="D649" s="56"/>
      <c r="E649" s="56"/>
      <c r="F649" s="178"/>
    </row>
    <row r="650" spans="1:6" ht="13.5" hidden="1" customHeight="1" x14ac:dyDescent="0.25">
      <c r="A650" s="38"/>
      <c r="B650" s="56"/>
      <c r="C650" s="56"/>
      <c r="D650" s="56"/>
      <c r="E650" s="56"/>
      <c r="F650" s="178"/>
    </row>
    <row r="651" spans="1:6" ht="13.5" hidden="1" customHeight="1" x14ac:dyDescent="0.25">
      <c r="A651" s="38"/>
      <c r="B651" s="56"/>
      <c r="C651" s="56"/>
      <c r="D651" s="56"/>
      <c r="E651" s="56"/>
      <c r="F651" s="178"/>
    </row>
    <row r="652" spans="1:6" ht="13.5" hidden="1" customHeight="1" x14ac:dyDescent="0.25">
      <c r="A652" s="38"/>
      <c r="B652" s="56"/>
      <c r="C652" s="56"/>
      <c r="D652" s="56"/>
      <c r="E652" s="56"/>
      <c r="F652" s="178"/>
    </row>
    <row r="653" spans="1:6" ht="13.5" hidden="1" customHeight="1" x14ac:dyDescent="0.25">
      <c r="A653" s="38"/>
      <c r="B653" s="56"/>
      <c r="C653" s="56"/>
      <c r="D653" s="56"/>
      <c r="E653" s="56"/>
      <c r="F653" s="178"/>
    </row>
    <row r="654" spans="1:6" ht="13.5" hidden="1" customHeight="1" x14ac:dyDescent="0.25">
      <c r="A654" s="38"/>
      <c r="B654" s="56"/>
      <c r="C654" s="56"/>
      <c r="D654" s="56"/>
      <c r="E654" s="56"/>
      <c r="F654" s="178"/>
    </row>
    <row r="655" spans="1:6" ht="13.5" hidden="1" customHeight="1" x14ac:dyDescent="0.25">
      <c r="A655" s="38"/>
      <c r="B655" s="56"/>
      <c r="C655" s="56"/>
      <c r="D655" s="56"/>
      <c r="E655" s="56"/>
      <c r="F655" s="178"/>
    </row>
    <row r="656" spans="1:6" ht="13.5" hidden="1" customHeight="1" x14ac:dyDescent="0.25">
      <c r="A656" s="38"/>
      <c r="B656" s="56"/>
      <c r="C656" s="56"/>
      <c r="D656" s="56"/>
      <c r="E656" s="56"/>
      <c r="F656" s="178"/>
    </row>
    <row r="657" spans="1:6" ht="13.5" hidden="1" customHeight="1" x14ac:dyDescent="0.25">
      <c r="A657" s="38"/>
      <c r="B657" s="56"/>
      <c r="C657" s="56"/>
      <c r="D657" s="56"/>
      <c r="E657" s="56"/>
      <c r="F657" s="178"/>
    </row>
    <row r="658" spans="1:6" ht="13.5" hidden="1" customHeight="1" x14ac:dyDescent="0.25">
      <c r="A658" s="38"/>
      <c r="B658" s="56"/>
      <c r="C658" s="56"/>
      <c r="D658" s="56"/>
      <c r="E658" s="56"/>
      <c r="F658" s="178"/>
    </row>
    <row r="659" spans="1:6" ht="13.5" hidden="1" customHeight="1" x14ac:dyDescent="0.25">
      <c r="A659" s="38"/>
      <c r="B659" s="56"/>
      <c r="C659" s="56"/>
      <c r="D659" s="56"/>
      <c r="E659" s="56"/>
      <c r="F659" s="178"/>
    </row>
    <row r="660" spans="1:6" ht="13.5" hidden="1" customHeight="1" x14ac:dyDescent="0.25">
      <c r="A660" s="38"/>
      <c r="B660" s="56"/>
      <c r="C660" s="56"/>
      <c r="D660" s="56"/>
      <c r="E660" s="56"/>
      <c r="F660" s="178"/>
    </row>
    <row r="661" spans="1:6" ht="13.5" hidden="1" customHeight="1" x14ac:dyDescent="0.25">
      <c r="A661" s="38"/>
      <c r="B661" s="56"/>
      <c r="C661" s="56"/>
      <c r="D661" s="56"/>
      <c r="E661" s="56"/>
      <c r="F661" s="178"/>
    </row>
    <row r="662" spans="1:6" ht="13.5" hidden="1" customHeight="1" x14ac:dyDescent="0.25">
      <c r="A662" s="38"/>
      <c r="B662" s="56"/>
      <c r="C662" s="56"/>
      <c r="D662" s="56"/>
      <c r="E662" s="56"/>
      <c r="F662" s="178"/>
    </row>
    <row r="663" spans="1:6" ht="13.5" hidden="1" customHeight="1" x14ac:dyDescent="0.25">
      <c r="A663" s="38"/>
      <c r="B663" s="56"/>
      <c r="C663" s="56"/>
      <c r="D663" s="56"/>
      <c r="E663" s="56"/>
      <c r="F663" s="178"/>
    </row>
    <row r="664" spans="1:6" ht="13.5" hidden="1" customHeight="1" x14ac:dyDescent="0.25">
      <c r="A664" s="38"/>
      <c r="B664" s="56"/>
      <c r="C664" s="56"/>
      <c r="D664" s="56"/>
      <c r="E664" s="56"/>
      <c r="F664" s="178"/>
    </row>
    <row r="665" spans="1:6" ht="13.5" hidden="1" customHeight="1" x14ac:dyDescent="0.25">
      <c r="A665" s="38"/>
      <c r="B665" s="56"/>
      <c r="C665" s="56"/>
      <c r="D665" s="56"/>
      <c r="E665" s="56"/>
      <c r="F665" s="178"/>
    </row>
    <row r="666" spans="1:6" ht="13.5" hidden="1" customHeight="1" x14ac:dyDescent="0.25">
      <c r="A666" s="38"/>
      <c r="B666" s="56"/>
      <c r="C666" s="56"/>
      <c r="D666" s="56"/>
      <c r="E666" s="56"/>
      <c r="F666" s="178"/>
    </row>
    <row r="667" spans="1:6" ht="13.5" hidden="1" customHeight="1" x14ac:dyDescent="0.25">
      <c r="A667" s="38"/>
      <c r="B667" s="56"/>
      <c r="C667" s="56"/>
      <c r="D667" s="56"/>
      <c r="E667" s="56"/>
      <c r="F667" s="178"/>
    </row>
    <row r="668" spans="1:6" ht="13.5" hidden="1" customHeight="1" x14ac:dyDescent="0.25">
      <c r="A668" s="38"/>
      <c r="B668" s="56"/>
      <c r="C668" s="56"/>
      <c r="D668" s="56"/>
      <c r="E668" s="56"/>
      <c r="F668" s="178"/>
    </row>
    <row r="669" spans="1:6" ht="13.5" hidden="1" customHeight="1" x14ac:dyDescent="0.25">
      <c r="A669" s="38"/>
      <c r="B669" s="56"/>
      <c r="C669" s="56"/>
      <c r="D669" s="56"/>
      <c r="E669" s="56"/>
      <c r="F669" s="178"/>
    </row>
    <row r="670" spans="1:6" ht="13.5" hidden="1" customHeight="1" x14ac:dyDescent="0.25">
      <c r="A670" s="38"/>
      <c r="B670" s="56"/>
      <c r="C670" s="56"/>
      <c r="D670" s="56"/>
      <c r="E670" s="56"/>
      <c r="F670" s="178"/>
    </row>
    <row r="671" spans="1:6" ht="13.5" hidden="1" customHeight="1" x14ac:dyDescent="0.25">
      <c r="A671" s="38"/>
      <c r="B671" s="56"/>
      <c r="C671" s="56"/>
      <c r="D671" s="56"/>
      <c r="E671" s="56"/>
      <c r="F671" s="178"/>
    </row>
    <row r="672" spans="1:6" ht="13.5" hidden="1" customHeight="1" x14ac:dyDescent="0.25">
      <c r="A672" s="38"/>
      <c r="B672" s="56"/>
      <c r="C672" s="56"/>
      <c r="D672" s="56"/>
      <c r="E672" s="56"/>
      <c r="F672" s="178"/>
    </row>
    <row r="673" spans="1:6" ht="13.5" hidden="1" customHeight="1" x14ac:dyDescent="0.25">
      <c r="A673" s="38"/>
      <c r="B673" s="56"/>
      <c r="C673" s="56"/>
      <c r="D673" s="56"/>
      <c r="E673" s="56"/>
      <c r="F673" s="178"/>
    </row>
    <row r="674" spans="1:6" ht="13.5" hidden="1" customHeight="1" x14ac:dyDescent="0.25">
      <c r="A674" s="38"/>
      <c r="B674" s="56"/>
      <c r="C674" s="56"/>
      <c r="D674" s="56"/>
      <c r="E674" s="56"/>
      <c r="F674" s="178"/>
    </row>
    <row r="675" spans="1:6" ht="13.5" hidden="1" customHeight="1" x14ac:dyDescent="0.25">
      <c r="A675" s="38"/>
      <c r="B675" s="56"/>
      <c r="C675" s="56"/>
      <c r="D675" s="56"/>
      <c r="E675" s="56"/>
      <c r="F675" s="178"/>
    </row>
    <row r="676" spans="1:6" ht="13.5" hidden="1" customHeight="1" x14ac:dyDescent="0.25">
      <c r="A676" s="38"/>
      <c r="B676" s="56"/>
      <c r="C676" s="56"/>
      <c r="D676" s="56"/>
      <c r="E676" s="56"/>
      <c r="F676" s="178"/>
    </row>
    <row r="677" spans="1:6" ht="13.5" hidden="1" customHeight="1" x14ac:dyDescent="0.25">
      <c r="A677" s="38"/>
      <c r="B677" s="56"/>
      <c r="C677" s="56"/>
      <c r="D677" s="56"/>
      <c r="E677" s="56"/>
      <c r="F677" s="178"/>
    </row>
    <row r="678" spans="1:6" ht="13.5" hidden="1" customHeight="1" x14ac:dyDescent="0.25">
      <c r="A678" s="38"/>
      <c r="B678" s="56"/>
      <c r="C678" s="56"/>
      <c r="D678" s="56"/>
      <c r="E678" s="56"/>
      <c r="F678" s="178"/>
    </row>
    <row r="679" spans="1:6" ht="13.5" hidden="1" customHeight="1" x14ac:dyDescent="0.25">
      <c r="A679" s="38"/>
      <c r="B679" s="56"/>
      <c r="C679" s="56"/>
      <c r="D679" s="56"/>
      <c r="E679" s="56"/>
      <c r="F679" s="178"/>
    </row>
    <row r="680" spans="1:6" ht="13.5" hidden="1" customHeight="1" x14ac:dyDescent="0.25">
      <c r="A680" s="38"/>
      <c r="B680" s="56"/>
      <c r="C680" s="56"/>
      <c r="D680" s="56"/>
      <c r="E680" s="56"/>
      <c r="F680" s="178"/>
    </row>
    <row r="681" spans="1:6" ht="13.5" hidden="1" customHeight="1" x14ac:dyDescent="0.25">
      <c r="A681" s="38"/>
      <c r="B681" s="56"/>
      <c r="C681" s="56"/>
      <c r="D681" s="56"/>
      <c r="E681" s="56"/>
      <c r="F681" s="178"/>
    </row>
    <row r="682" spans="1:6" ht="13.5" hidden="1" customHeight="1" x14ac:dyDescent="0.25">
      <c r="A682" s="38"/>
      <c r="B682" s="56"/>
      <c r="C682" s="56"/>
      <c r="D682" s="56"/>
      <c r="E682" s="56"/>
      <c r="F682" s="178"/>
    </row>
    <row r="683" spans="1:6" ht="13.5" hidden="1" customHeight="1" x14ac:dyDescent="0.25">
      <c r="A683" s="38"/>
      <c r="B683" s="56"/>
      <c r="C683" s="56"/>
      <c r="D683" s="56"/>
      <c r="E683" s="56"/>
      <c r="F683" s="178"/>
    </row>
    <row r="684" spans="1:6" ht="13.5" hidden="1" customHeight="1" x14ac:dyDescent="0.25">
      <c r="A684" s="38"/>
      <c r="B684" s="56"/>
      <c r="C684" s="56"/>
      <c r="D684" s="56"/>
      <c r="E684" s="56"/>
      <c r="F684" s="178"/>
    </row>
    <row r="685" spans="1:6" ht="13.5" hidden="1" customHeight="1" x14ac:dyDescent="0.25">
      <c r="A685" s="38"/>
      <c r="B685" s="56"/>
      <c r="C685" s="56"/>
      <c r="D685" s="56"/>
      <c r="E685" s="56"/>
      <c r="F685" s="178"/>
    </row>
    <row r="686" spans="1:6" ht="13.5" hidden="1" customHeight="1" x14ac:dyDescent="0.25">
      <c r="A686" s="38"/>
      <c r="B686" s="56"/>
      <c r="C686" s="56"/>
      <c r="D686" s="56"/>
      <c r="E686" s="56"/>
      <c r="F686" s="178"/>
    </row>
    <row r="687" spans="1:6" ht="13.5" hidden="1" customHeight="1" x14ac:dyDescent="0.25">
      <c r="A687" s="38"/>
      <c r="B687" s="56"/>
      <c r="C687" s="56"/>
      <c r="D687" s="56"/>
      <c r="E687" s="56"/>
      <c r="F687" s="178"/>
    </row>
    <row r="688" spans="1:6" ht="13.5" hidden="1" customHeight="1" x14ac:dyDescent="0.25">
      <c r="A688" s="38"/>
      <c r="B688" s="56"/>
      <c r="C688" s="56"/>
      <c r="D688" s="56"/>
      <c r="E688" s="56"/>
      <c r="F688" s="178"/>
    </row>
    <row r="689" spans="1:6" ht="13.5" hidden="1" customHeight="1" x14ac:dyDescent="0.25">
      <c r="A689" s="38"/>
      <c r="B689" s="56"/>
      <c r="C689" s="56"/>
      <c r="D689" s="56"/>
      <c r="E689" s="56"/>
      <c r="F689" s="178"/>
    </row>
    <row r="690" spans="1:6" ht="13.5" hidden="1" customHeight="1" x14ac:dyDescent="0.25">
      <c r="A690" s="38"/>
      <c r="B690" s="56"/>
      <c r="C690" s="56"/>
      <c r="D690" s="56"/>
      <c r="E690" s="56"/>
      <c r="F690" s="178"/>
    </row>
    <row r="691" spans="1:6" ht="13.5" hidden="1" customHeight="1" x14ac:dyDescent="0.25">
      <c r="A691" s="38"/>
      <c r="B691" s="56"/>
      <c r="C691" s="56"/>
      <c r="D691" s="56"/>
      <c r="E691" s="56"/>
      <c r="F691" s="178"/>
    </row>
    <row r="692" spans="1:6" ht="13.5" hidden="1" customHeight="1" x14ac:dyDescent="0.25">
      <c r="A692" s="38"/>
      <c r="B692" s="56"/>
      <c r="C692" s="56"/>
      <c r="D692" s="56"/>
      <c r="E692" s="56"/>
      <c r="F692" s="178"/>
    </row>
    <row r="693" spans="1:6" ht="13.5" hidden="1" customHeight="1" x14ac:dyDescent="0.25">
      <c r="A693" s="38"/>
      <c r="B693" s="56"/>
      <c r="C693" s="56"/>
      <c r="D693" s="56"/>
      <c r="E693" s="56"/>
      <c r="F693" s="178"/>
    </row>
    <row r="694" spans="1:6" ht="13.5" hidden="1" customHeight="1" x14ac:dyDescent="0.25">
      <c r="A694" s="38"/>
      <c r="B694" s="56"/>
      <c r="C694" s="56"/>
      <c r="D694" s="56"/>
      <c r="E694" s="56"/>
      <c r="F694" s="178"/>
    </row>
    <row r="695" spans="1:6" ht="13.5" hidden="1" customHeight="1" x14ac:dyDescent="0.25">
      <c r="A695" s="38"/>
      <c r="B695" s="56"/>
      <c r="C695" s="56"/>
      <c r="D695" s="56"/>
      <c r="E695" s="56"/>
      <c r="F695" s="178"/>
    </row>
    <row r="696" spans="1:6" ht="13.5" hidden="1" customHeight="1" x14ac:dyDescent="0.25">
      <c r="A696" s="38"/>
      <c r="B696" s="56"/>
      <c r="C696" s="56"/>
      <c r="D696" s="56"/>
      <c r="E696" s="56"/>
      <c r="F696" s="178"/>
    </row>
    <row r="697" spans="1:6" ht="13.5" hidden="1" customHeight="1" x14ac:dyDescent="0.25">
      <c r="A697" s="38"/>
      <c r="B697" s="56"/>
      <c r="C697" s="56"/>
      <c r="D697" s="56"/>
      <c r="E697" s="56"/>
      <c r="F697" s="178"/>
    </row>
    <row r="698" spans="1:6" ht="13.5" hidden="1" customHeight="1" x14ac:dyDescent="0.25">
      <c r="A698" s="38"/>
      <c r="B698" s="56"/>
      <c r="C698" s="56"/>
      <c r="D698" s="56"/>
      <c r="E698" s="56"/>
      <c r="F698" s="178"/>
    </row>
    <row r="699" spans="1:6" ht="13.5" hidden="1" customHeight="1" x14ac:dyDescent="0.25">
      <c r="A699" s="38"/>
      <c r="B699" s="56"/>
      <c r="C699" s="56"/>
      <c r="D699" s="56"/>
      <c r="E699" s="56"/>
      <c r="F699" s="178"/>
    </row>
    <row r="700" spans="1:6" ht="13.5" hidden="1" customHeight="1" x14ac:dyDescent="0.25">
      <c r="A700" s="38"/>
      <c r="B700" s="56"/>
      <c r="C700" s="56"/>
      <c r="D700" s="56"/>
      <c r="E700" s="56"/>
      <c r="F700" s="178"/>
    </row>
    <row r="701" spans="1:6" ht="13.5" hidden="1" customHeight="1" x14ac:dyDescent="0.25">
      <c r="A701" s="38"/>
      <c r="B701" s="56"/>
      <c r="C701" s="56"/>
      <c r="D701" s="56"/>
      <c r="E701" s="56"/>
      <c r="F701" s="178"/>
    </row>
    <row r="702" spans="1:6" ht="13.5" hidden="1" customHeight="1" x14ac:dyDescent="0.25">
      <c r="A702" s="38"/>
      <c r="B702" s="56"/>
      <c r="C702" s="56"/>
      <c r="D702" s="56"/>
      <c r="E702" s="56"/>
      <c r="F702" s="178"/>
    </row>
    <row r="703" spans="1:6" ht="13.5" hidden="1" customHeight="1" x14ac:dyDescent="0.25">
      <c r="A703" s="38"/>
      <c r="B703" s="56"/>
      <c r="C703" s="56"/>
      <c r="D703" s="56"/>
      <c r="E703" s="56"/>
      <c r="F703" s="178"/>
    </row>
    <row r="704" spans="1:6" ht="13.5" hidden="1" customHeight="1" x14ac:dyDescent="0.25">
      <c r="A704" s="38"/>
      <c r="B704" s="56"/>
      <c r="C704" s="56"/>
      <c r="D704" s="56"/>
      <c r="E704" s="56"/>
      <c r="F704" s="178"/>
    </row>
    <row r="705" spans="1:6" ht="13.5" hidden="1" customHeight="1" x14ac:dyDescent="0.25">
      <c r="A705" s="38"/>
      <c r="B705" s="56"/>
      <c r="C705" s="56"/>
      <c r="D705" s="56"/>
      <c r="E705" s="56"/>
      <c r="F705" s="178"/>
    </row>
    <row r="706" spans="1:6" ht="13.5" hidden="1" customHeight="1" x14ac:dyDescent="0.25">
      <c r="A706" s="38"/>
      <c r="B706" s="56"/>
      <c r="C706" s="56"/>
      <c r="D706" s="56"/>
      <c r="E706" s="56"/>
      <c r="F706" s="178"/>
    </row>
    <row r="707" spans="1:6" ht="13.5" hidden="1" customHeight="1" x14ac:dyDescent="0.25">
      <c r="A707" s="38"/>
      <c r="B707" s="56"/>
      <c r="C707" s="56"/>
      <c r="D707" s="56"/>
      <c r="E707" s="56"/>
      <c r="F707" s="178"/>
    </row>
    <row r="708" spans="1:6" ht="13.5" hidden="1" customHeight="1" x14ac:dyDescent="0.25">
      <c r="A708" s="38"/>
      <c r="B708" s="56"/>
      <c r="C708" s="56"/>
      <c r="D708" s="56"/>
      <c r="E708" s="56"/>
      <c r="F708" s="178"/>
    </row>
    <row r="709" spans="1:6" ht="13.5" hidden="1" customHeight="1" x14ac:dyDescent="0.25">
      <c r="A709" s="38"/>
      <c r="B709" s="56"/>
      <c r="C709" s="56"/>
      <c r="D709" s="56"/>
      <c r="E709" s="56"/>
      <c r="F709" s="178"/>
    </row>
    <row r="710" spans="1:6" ht="13.5" hidden="1" customHeight="1" x14ac:dyDescent="0.25">
      <c r="A710" s="38"/>
      <c r="B710" s="56"/>
      <c r="C710" s="56"/>
      <c r="D710" s="56"/>
      <c r="E710" s="56"/>
      <c r="F710" s="178"/>
    </row>
    <row r="711" spans="1:6" ht="13.5" hidden="1" customHeight="1" x14ac:dyDescent="0.25">
      <c r="A711" s="38"/>
      <c r="B711" s="56"/>
      <c r="C711" s="56"/>
      <c r="D711" s="56"/>
      <c r="E711" s="56"/>
      <c r="F711" s="178"/>
    </row>
    <row r="712" spans="1:6" ht="13.5" hidden="1" customHeight="1" x14ac:dyDescent="0.25">
      <c r="A712" s="38"/>
      <c r="B712" s="56"/>
      <c r="C712" s="56"/>
      <c r="D712" s="56"/>
      <c r="E712" s="56"/>
      <c r="F712" s="178"/>
    </row>
    <row r="713" spans="1:6" ht="13.5" hidden="1" customHeight="1" x14ac:dyDescent="0.25">
      <c r="A713" s="38"/>
      <c r="B713" s="56"/>
      <c r="C713" s="56"/>
      <c r="D713" s="56"/>
      <c r="E713" s="56"/>
      <c r="F713" s="178"/>
    </row>
    <row r="714" spans="1:6" ht="13.5" hidden="1" customHeight="1" x14ac:dyDescent="0.25">
      <c r="A714" s="38"/>
      <c r="B714" s="56"/>
      <c r="C714" s="56"/>
      <c r="D714" s="56"/>
      <c r="E714" s="56"/>
      <c r="F714" s="178"/>
    </row>
    <row r="715" spans="1:6" ht="13.5" hidden="1" customHeight="1" x14ac:dyDescent="0.25">
      <c r="A715" s="38"/>
      <c r="B715" s="56"/>
      <c r="C715" s="56"/>
      <c r="D715" s="56"/>
      <c r="E715" s="56"/>
      <c r="F715" s="178"/>
    </row>
    <row r="716" spans="1:6" ht="13.5" hidden="1" customHeight="1" x14ac:dyDescent="0.25">
      <c r="A716" s="38"/>
      <c r="B716" s="56"/>
      <c r="C716" s="56"/>
      <c r="D716" s="56"/>
      <c r="E716" s="56"/>
      <c r="F716" s="178"/>
    </row>
    <row r="717" spans="1:6" ht="13.5" hidden="1" customHeight="1" x14ac:dyDescent="0.25">
      <c r="A717" s="38"/>
      <c r="B717" s="56"/>
      <c r="C717" s="56"/>
      <c r="D717" s="56"/>
      <c r="E717" s="56"/>
      <c r="F717" s="178"/>
    </row>
    <row r="718" spans="1:6" ht="13.5" hidden="1" customHeight="1" x14ac:dyDescent="0.25">
      <c r="A718" s="38"/>
      <c r="B718" s="56"/>
      <c r="C718" s="56"/>
      <c r="D718" s="56"/>
      <c r="E718" s="56"/>
      <c r="F718" s="178"/>
    </row>
    <row r="719" spans="1:6" ht="13.5" hidden="1" customHeight="1" x14ac:dyDescent="0.25">
      <c r="A719" s="38"/>
      <c r="B719" s="56"/>
      <c r="C719" s="56"/>
      <c r="D719" s="56"/>
      <c r="E719" s="56"/>
      <c r="F719" s="178"/>
    </row>
    <row r="720" spans="1:6" ht="13.5" hidden="1" customHeight="1" x14ac:dyDescent="0.25">
      <c r="A720" s="38"/>
      <c r="B720" s="56"/>
      <c r="C720" s="56"/>
      <c r="D720" s="56"/>
      <c r="E720" s="56"/>
      <c r="F720" s="178"/>
    </row>
    <row r="721" spans="1:6" ht="13.5" hidden="1" customHeight="1" x14ac:dyDescent="0.25">
      <c r="A721" s="38"/>
      <c r="B721" s="56"/>
      <c r="C721" s="56"/>
      <c r="D721" s="56"/>
      <c r="E721" s="56"/>
      <c r="F721" s="178"/>
    </row>
    <row r="722" spans="1:6" ht="13.5" hidden="1" customHeight="1" x14ac:dyDescent="0.25">
      <c r="A722" s="38"/>
      <c r="B722" s="56"/>
      <c r="C722" s="56"/>
      <c r="D722" s="56"/>
      <c r="E722" s="56"/>
      <c r="F722" s="178"/>
    </row>
    <row r="723" spans="1:6" ht="13.5" hidden="1" customHeight="1" x14ac:dyDescent="0.25">
      <c r="A723" s="38"/>
      <c r="B723" s="56"/>
      <c r="C723" s="56"/>
      <c r="D723" s="56"/>
      <c r="E723" s="56"/>
      <c r="F723" s="178"/>
    </row>
    <row r="724" spans="1:6" ht="13.5" hidden="1" customHeight="1" x14ac:dyDescent="0.25">
      <c r="A724" s="38"/>
      <c r="B724" s="56"/>
      <c r="C724" s="56"/>
      <c r="D724" s="56"/>
      <c r="E724" s="56"/>
      <c r="F724" s="178"/>
    </row>
    <row r="725" spans="1:6" ht="13.5" hidden="1" customHeight="1" x14ac:dyDescent="0.25">
      <c r="A725" s="38"/>
      <c r="B725" s="56"/>
      <c r="C725" s="56"/>
      <c r="D725" s="56"/>
      <c r="E725" s="56"/>
      <c r="F725" s="178"/>
    </row>
    <row r="726" spans="1:6" ht="13.5" hidden="1" customHeight="1" x14ac:dyDescent="0.25">
      <c r="A726" s="38"/>
      <c r="B726" s="56"/>
      <c r="C726" s="56"/>
      <c r="D726" s="56"/>
      <c r="E726" s="56"/>
      <c r="F726" s="178"/>
    </row>
    <row r="727" spans="1:6" ht="13.5" hidden="1" customHeight="1" x14ac:dyDescent="0.25">
      <c r="A727" s="38"/>
      <c r="B727" s="56"/>
      <c r="C727" s="56"/>
      <c r="D727" s="56"/>
      <c r="E727" s="56"/>
      <c r="F727" s="178"/>
    </row>
    <row r="728" spans="1:6" ht="13.5" hidden="1" customHeight="1" x14ac:dyDescent="0.25">
      <c r="A728" s="38"/>
      <c r="B728" s="56"/>
      <c r="C728" s="56"/>
      <c r="D728" s="56"/>
      <c r="E728" s="56"/>
      <c r="F728" s="178"/>
    </row>
    <row r="729" spans="1:6" ht="13.5" hidden="1" customHeight="1" x14ac:dyDescent="0.25">
      <c r="A729" s="38"/>
      <c r="B729" s="56"/>
      <c r="C729" s="56"/>
      <c r="D729" s="56"/>
      <c r="E729" s="56"/>
      <c r="F729" s="178"/>
    </row>
    <row r="730" spans="1:6" ht="13.5" hidden="1" customHeight="1" x14ac:dyDescent="0.25">
      <c r="A730" s="38"/>
      <c r="B730" s="56"/>
      <c r="C730" s="56"/>
      <c r="D730" s="56"/>
      <c r="E730" s="56"/>
      <c r="F730" s="178"/>
    </row>
    <row r="731" spans="1:6" ht="13.5" hidden="1" customHeight="1" x14ac:dyDescent="0.25">
      <c r="A731" s="38"/>
      <c r="B731" s="56"/>
      <c r="C731" s="56"/>
      <c r="D731" s="56"/>
      <c r="E731" s="56"/>
      <c r="F731" s="178"/>
    </row>
    <row r="732" spans="1:6" ht="13.5" hidden="1" customHeight="1" x14ac:dyDescent="0.25">
      <c r="A732" s="38"/>
      <c r="B732" s="56"/>
      <c r="C732" s="56"/>
      <c r="D732" s="56"/>
      <c r="E732" s="56"/>
      <c r="F732" s="178"/>
    </row>
    <row r="733" spans="1:6" ht="13.5" hidden="1" customHeight="1" x14ac:dyDescent="0.25">
      <c r="A733" s="38"/>
      <c r="B733" s="56"/>
      <c r="C733" s="56"/>
      <c r="D733" s="56"/>
      <c r="E733" s="56"/>
      <c r="F733" s="178"/>
    </row>
    <row r="734" spans="1:6" ht="13.5" hidden="1" customHeight="1" x14ac:dyDescent="0.25">
      <c r="A734" s="38"/>
      <c r="B734" s="56"/>
      <c r="C734" s="56"/>
      <c r="D734" s="56"/>
      <c r="E734" s="56"/>
      <c r="F734" s="178"/>
    </row>
    <row r="735" spans="1:6" ht="13.5" hidden="1" customHeight="1" x14ac:dyDescent="0.25">
      <c r="A735" s="38"/>
      <c r="B735" s="56"/>
      <c r="C735" s="56"/>
      <c r="D735" s="56"/>
      <c r="E735" s="56"/>
      <c r="F735" s="178"/>
    </row>
    <row r="736" spans="1:6" ht="13.5" hidden="1" customHeight="1" x14ac:dyDescent="0.25">
      <c r="A736" s="38"/>
      <c r="B736" s="56"/>
      <c r="C736" s="56"/>
      <c r="D736" s="56"/>
      <c r="E736" s="56"/>
      <c r="F736" s="178"/>
    </row>
    <row r="737" spans="1:6" ht="13.5" hidden="1" customHeight="1" x14ac:dyDescent="0.25">
      <c r="A737" s="38"/>
      <c r="B737" s="56"/>
      <c r="C737" s="56"/>
      <c r="D737" s="56"/>
      <c r="E737" s="56"/>
      <c r="F737" s="178"/>
    </row>
    <row r="738" spans="1:6" ht="13.5" hidden="1" customHeight="1" x14ac:dyDescent="0.25">
      <c r="A738" s="38"/>
      <c r="B738" s="56"/>
      <c r="C738" s="56"/>
      <c r="D738" s="56"/>
      <c r="E738" s="56"/>
      <c r="F738" s="178"/>
    </row>
    <row r="739" spans="1:6" ht="13.5" hidden="1" customHeight="1" x14ac:dyDescent="0.25">
      <c r="A739" s="38"/>
      <c r="B739" s="56"/>
      <c r="C739" s="56"/>
      <c r="D739" s="56"/>
      <c r="E739" s="56"/>
      <c r="F739" s="178"/>
    </row>
    <row r="740" spans="1:6" ht="13.5" hidden="1" customHeight="1" x14ac:dyDescent="0.25">
      <c r="A740" s="38"/>
      <c r="B740" s="56"/>
      <c r="C740" s="56"/>
      <c r="D740" s="56"/>
      <c r="E740" s="56"/>
      <c r="F740" s="178"/>
    </row>
    <row r="741" spans="1:6" ht="13.5" hidden="1" customHeight="1" x14ac:dyDescent="0.25">
      <c r="A741" s="38"/>
      <c r="B741" s="56"/>
      <c r="C741" s="56"/>
      <c r="D741" s="56"/>
      <c r="E741" s="56"/>
      <c r="F741" s="178"/>
    </row>
    <row r="742" spans="1:6" ht="13.5" hidden="1" customHeight="1" x14ac:dyDescent="0.25">
      <c r="A742" s="38"/>
      <c r="B742" s="56"/>
      <c r="C742" s="56"/>
      <c r="D742" s="56"/>
      <c r="E742" s="56"/>
      <c r="F742" s="178"/>
    </row>
    <row r="743" spans="1:6" ht="13.5" hidden="1" customHeight="1" x14ac:dyDescent="0.25">
      <c r="A743" s="38"/>
      <c r="B743" s="56"/>
      <c r="C743" s="56"/>
      <c r="D743" s="56"/>
      <c r="E743" s="56"/>
      <c r="F743" s="178"/>
    </row>
    <row r="744" spans="1:6" ht="13.5" hidden="1" customHeight="1" x14ac:dyDescent="0.25">
      <c r="A744" s="38"/>
      <c r="B744" s="56"/>
      <c r="C744" s="56"/>
      <c r="D744" s="56"/>
      <c r="E744" s="56"/>
      <c r="F744" s="178"/>
    </row>
    <row r="745" spans="1:6" ht="13.5" hidden="1" customHeight="1" x14ac:dyDescent="0.25">
      <c r="A745" s="38"/>
      <c r="B745" s="56"/>
      <c r="C745" s="56"/>
      <c r="D745" s="56"/>
      <c r="E745" s="56"/>
      <c r="F745" s="178"/>
    </row>
    <row r="746" spans="1:6" ht="13.5" hidden="1" customHeight="1" x14ac:dyDescent="0.25">
      <c r="A746" s="38"/>
      <c r="B746" s="56"/>
      <c r="C746" s="56"/>
      <c r="D746" s="56"/>
      <c r="E746" s="56"/>
      <c r="F746" s="178"/>
    </row>
    <row r="747" spans="1:6" ht="13.5" hidden="1" customHeight="1" x14ac:dyDescent="0.25">
      <c r="A747" s="38"/>
      <c r="B747" s="56"/>
      <c r="C747" s="56"/>
      <c r="D747" s="56"/>
      <c r="E747" s="56"/>
      <c r="F747" s="178"/>
    </row>
    <row r="748" spans="1:6" ht="13.5" hidden="1" customHeight="1" x14ac:dyDescent="0.25">
      <c r="A748" s="38"/>
      <c r="B748" s="56"/>
      <c r="C748" s="56"/>
      <c r="D748" s="56"/>
      <c r="E748" s="56"/>
      <c r="F748" s="178"/>
    </row>
    <row r="749" spans="1:6" ht="13.5" hidden="1" customHeight="1" x14ac:dyDescent="0.25">
      <c r="A749" s="38"/>
      <c r="B749" s="56"/>
      <c r="C749" s="56"/>
      <c r="D749" s="56"/>
      <c r="E749" s="56"/>
      <c r="F749" s="178"/>
    </row>
    <row r="750" spans="1:6" ht="13.5" hidden="1" customHeight="1" x14ac:dyDescent="0.25">
      <c r="A750" s="38"/>
      <c r="B750" s="56"/>
      <c r="C750" s="56"/>
      <c r="D750" s="56"/>
      <c r="E750" s="56"/>
      <c r="F750" s="178"/>
    </row>
    <row r="751" spans="1:6" ht="13.5" hidden="1" customHeight="1" x14ac:dyDescent="0.25">
      <c r="A751" s="38"/>
      <c r="B751" s="56"/>
      <c r="C751" s="56"/>
      <c r="D751" s="56"/>
      <c r="E751" s="56"/>
      <c r="F751" s="178"/>
    </row>
    <row r="752" spans="1:6" ht="13.5" hidden="1" customHeight="1" x14ac:dyDescent="0.25">
      <c r="A752" s="38"/>
      <c r="B752" s="56"/>
      <c r="C752" s="56"/>
      <c r="D752" s="56"/>
      <c r="E752" s="56"/>
      <c r="F752" s="178"/>
    </row>
    <row r="753" spans="1:6" ht="13.5" hidden="1" customHeight="1" x14ac:dyDescent="0.25">
      <c r="A753" s="38"/>
      <c r="B753" s="56"/>
      <c r="C753" s="56"/>
      <c r="D753" s="56"/>
      <c r="E753" s="56"/>
      <c r="F753" s="178"/>
    </row>
    <row r="754" spans="1:6" ht="13.5" hidden="1" customHeight="1" x14ac:dyDescent="0.25">
      <c r="A754" s="38"/>
      <c r="B754" s="56"/>
      <c r="C754" s="56"/>
      <c r="D754" s="56"/>
      <c r="E754" s="56"/>
      <c r="F754" s="178"/>
    </row>
    <row r="755" spans="1:6" ht="13.5" hidden="1" customHeight="1" x14ac:dyDescent="0.25">
      <c r="A755" s="38"/>
      <c r="B755" s="56"/>
      <c r="C755" s="56"/>
      <c r="D755" s="56"/>
      <c r="E755" s="56"/>
      <c r="F755" s="178"/>
    </row>
    <row r="756" spans="1:6" ht="13.5" hidden="1" customHeight="1" x14ac:dyDescent="0.25">
      <c r="A756" s="38"/>
      <c r="B756" s="56"/>
      <c r="C756" s="56"/>
      <c r="D756" s="56"/>
      <c r="E756" s="56"/>
      <c r="F756" s="178"/>
    </row>
    <row r="757" spans="1:6" ht="13.5" hidden="1" customHeight="1" x14ac:dyDescent="0.25">
      <c r="A757" s="38"/>
      <c r="B757" s="56"/>
      <c r="C757" s="56"/>
      <c r="D757" s="56"/>
      <c r="E757" s="56"/>
      <c r="F757" s="178"/>
    </row>
    <row r="758" spans="1:6" ht="13.5" hidden="1" customHeight="1" x14ac:dyDescent="0.25">
      <c r="A758" s="38"/>
      <c r="B758" s="56"/>
      <c r="C758" s="56"/>
      <c r="D758" s="56"/>
      <c r="E758" s="56"/>
      <c r="F758" s="178"/>
    </row>
    <row r="759" spans="1:6" ht="13.5" hidden="1" customHeight="1" x14ac:dyDescent="0.25">
      <c r="A759" s="38"/>
      <c r="B759" s="56"/>
      <c r="C759" s="56"/>
      <c r="D759" s="56"/>
      <c r="E759" s="56"/>
      <c r="F759" s="178"/>
    </row>
    <row r="760" spans="1:6" ht="13.5" hidden="1" customHeight="1" x14ac:dyDescent="0.25">
      <c r="A760" s="38"/>
      <c r="B760" s="56"/>
      <c r="C760" s="56"/>
      <c r="D760" s="56"/>
      <c r="E760" s="56"/>
      <c r="F760" s="178"/>
    </row>
    <row r="761" spans="1:6" ht="13.5" hidden="1" customHeight="1" x14ac:dyDescent="0.25">
      <c r="A761" s="38"/>
      <c r="B761" s="56"/>
      <c r="C761" s="56"/>
      <c r="D761" s="56"/>
      <c r="E761" s="56"/>
      <c r="F761" s="178"/>
    </row>
    <row r="762" spans="1:6" ht="13.5" hidden="1" customHeight="1" x14ac:dyDescent="0.25">
      <c r="A762" s="38"/>
      <c r="B762" s="56"/>
      <c r="C762" s="56"/>
      <c r="D762" s="56"/>
      <c r="E762" s="56"/>
      <c r="F762" s="178"/>
    </row>
    <row r="763" spans="1:6" ht="13.5" hidden="1" customHeight="1" x14ac:dyDescent="0.25">
      <c r="A763" s="38"/>
      <c r="B763" s="56"/>
      <c r="C763" s="56"/>
      <c r="D763" s="56"/>
      <c r="E763" s="56"/>
      <c r="F763" s="178"/>
    </row>
    <row r="764" spans="1:6" ht="13.5" hidden="1" customHeight="1" x14ac:dyDescent="0.25">
      <c r="A764" s="38"/>
      <c r="B764" s="56"/>
      <c r="C764" s="56"/>
      <c r="D764" s="56"/>
      <c r="E764" s="56"/>
      <c r="F764" s="178"/>
    </row>
    <row r="765" spans="1:6" ht="13.5" hidden="1" customHeight="1" x14ac:dyDescent="0.25">
      <c r="A765" s="38"/>
      <c r="B765" s="56"/>
      <c r="C765" s="56"/>
      <c r="D765" s="56"/>
      <c r="E765" s="56"/>
      <c r="F765" s="178"/>
    </row>
    <row r="766" spans="1:6" ht="13.5" hidden="1" customHeight="1" x14ac:dyDescent="0.25">
      <c r="A766" s="38"/>
      <c r="B766" s="56"/>
      <c r="C766" s="56"/>
      <c r="D766" s="56"/>
      <c r="E766" s="56"/>
      <c r="F766" s="178"/>
    </row>
    <row r="767" spans="1:6" ht="13.5" hidden="1" customHeight="1" x14ac:dyDescent="0.25">
      <c r="A767" s="38"/>
      <c r="B767" s="56"/>
      <c r="C767" s="56"/>
      <c r="D767" s="56"/>
      <c r="E767" s="56"/>
      <c r="F767" s="178"/>
    </row>
    <row r="768" spans="1:6" ht="13.5" hidden="1" customHeight="1" x14ac:dyDescent="0.25">
      <c r="A768" s="38"/>
      <c r="B768" s="56"/>
      <c r="C768" s="56"/>
      <c r="D768" s="56"/>
      <c r="E768" s="56"/>
      <c r="F768" s="178"/>
    </row>
    <row r="769" spans="1:6" ht="13.5" hidden="1" customHeight="1" x14ac:dyDescent="0.25">
      <c r="A769" s="38"/>
      <c r="B769" s="56"/>
      <c r="C769" s="56"/>
      <c r="D769" s="56"/>
      <c r="E769" s="56"/>
      <c r="F769" s="178"/>
    </row>
    <row r="770" spans="1:6" ht="13.5" hidden="1" customHeight="1" x14ac:dyDescent="0.25">
      <c r="A770" s="38"/>
      <c r="B770" s="56"/>
      <c r="C770" s="56"/>
      <c r="D770" s="56"/>
      <c r="E770" s="56"/>
      <c r="F770" s="178"/>
    </row>
    <row r="771" spans="1:6" ht="13.5" hidden="1" customHeight="1" x14ac:dyDescent="0.25">
      <c r="A771" s="38"/>
      <c r="B771" s="56"/>
      <c r="C771" s="56"/>
      <c r="D771" s="56"/>
      <c r="E771" s="56"/>
      <c r="F771" s="178"/>
    </row>
    <row r="772" spans="1:6" ht="13.5" hidden="1" customHeight="1" x14ac:dyDescent="0.25">
      <c r="A772" s="38"/>
      <c r="B772" s="56"/>
      <c r="C772" s="56"/>
      <c r="D772" s="56"/>
      <c r="E772" s="56"/>
      <c r="F772" s="178"/>
    </row>
    <row r="773" spans="1:6" ht="13.5" hidden="1" customHeight="1" x14ac:dyDescent="0.25">
      <c r="A773" s="38"/>
      <c r="B773" s="56"/>
      <c r="C773" s="56"/>
      <c r="D773" s="56"/>
      <c r="E773" s="56"/>
      <c r="F773" s="178"/>
    </row>
    <row r="774" spans="1:6" ht="13.5" hidden="1" customHeight="1" x14ac:dyDescent="0.25">
      <c r="A774" s="38"/>
      <c r="B774" s="56"/>
      <c r="C774" s="56"/>
      <c r="D774" s="56"/>
      <c r="E774" s="56"/>
      <c r="F774" s="178"/>
    </row>
    <row r="775" spans="1:6" ht="13.5" hidden="1" customHeight="1" x14ac:dyDescent="0.25">
      <c r="A775" s="38"/>
      <c r="B775" s="56"/>
      <c r="C775" s="56"/>
      <c r="D775" s="56"/>
      <c r="E775" s="56"/>
      <c r="F775" s="178"/>
    </row>
    <row r="776" spans="1:6" ht="13.5" hidden="1" customHeight="1" x14ac:dyDescent="0.25">
      <c r="A776" s="38"/>
      <c r="B776" s="56"/>
      <c r="C776" s="56"/>
      <c r="D776" s="56"/>
      <c r="E776" s="56"/>
      <c r="F776" s="178"/>
    </row>
    <row r="777" spans="1:6" ht="13.5" hidden="1" customHeight="1" x14ac:dyDescent="0.25">
      <c r="A777" s="38"/>
      <c r="B777" s="56"/>
      <c r="C777" s="56"/>
      <c r="D777" s="56"/>
      <c r="E777" s="56"/>
      <c r="F777" s="178"/>
    </row>
    <row r="778" spans="1:6" ht="13.5" hidden="1" customHeight="1" x14ac:dyDescent="0.25">
      <c r="A778" s="38"/>
      <c r="B778" s="56"/>
      <c r="C778" s="56"/>
      <c r="D778" s="56"/>
      <c r="E778" s="56"/>
      <c r="F778" s="178"/>
    </row>
    <row r="779" spans="1:6" ht="13.5" hidden="1" customHeight="1" x14ac:dyDescent="0.25">
      <c r="A779" s="38"/>
      <c r="B779" s="56"/>
      <c r="C779" s="56"/>
      <c r="D779" s="56"/>
      <c r="E779" s="56"/>
      <c r="F779" s="178"/>
    </row>
    <row r="780" spans="1:6" ht="13.5" hidden="1" customHeight="1" x14ac:dyDescent="0.25">
      <c r="A780" s="38"/>
      <c r="B780" s="56"/>
      <c r="C780" s="56"/>
      <c r="D780" s="56"/>
      <c r="E780" s="56"/>
      <c r="F780" s="178"/>
    </row>
    <row r="781" spans="1:6" ht="13.5" hidden="1" customHeight="1" x14ac:dyDescent="0.25">
      <c r="A781" s="38"/>
      <c r="B781" s="56"/>
      <c r="C781" s="56"/>
      <c r="D781" s="56"/>
      <c r="E781" s="56"/>
      <c r="F781" s="178"/>
    </row>
    <row r="782" spans="1:6" ht="13.5" hidden="1" customHeight="1" x14ac:dyDescent="0.25">
      <c r="A782" s="38"/>
      <c r="B782" s="56"/>
      <c r="C782" s="56"/>
      <c r="D782" s="56"/>
      <c r="E782" s="56"/>
      <c r="F782" s="178"/>
    </row>
    <row r="783" spans="1:6" ht="13.5" hidden="1" customHeight="1" x14ac:dyDescent="0.25">
      <c r="A783" s="38"/>
      <c r="B783" s="56"/>
      <c r="C783" s="56"/>
      <c r="D783" s="56"/>
      <c r="E783" s="56"/>
      <c r="F783" s="178"/>
    </row>
    <row r="784" spans="1:6" ht="13.5" hidden="1" customHeight="1" x14ac:dyDescent="0.25">
      <c r="A784" s="38"/>
      <c r="B784" s="56"/>
      <c r="C784" s="56"/>
      <c r="D784" s="56"/>
      <c r="E784" s="56"/>
      <c r="F784" s="178"/>
    </row>
    <row r="785" spans="1:27" ht="13.5" hidden="1" customHeight="1" x14ac:dyDescent="0.25">
      <c r="A785" s="38"/>
      <c r="B785" s="56"/>
      <c r="C785" s="56"/>
      <c r="D785" s="56"/>
      <c r="E785" s="56"/>
      <c r="F785" s="178"/>
    </row>
    <row r="786" spans="1:27" ht="13.5" hidden="1" customHeight="1" x14ac:dyDescent="0.25">
      <c r="A786" s="38"/>
      <c r="B786" s="56"/>
      <c r="C786" s="56"/>
      <c r="D786" s="56"/>
      <c r="E786" s="56"/>
      <c r="F786" s="178"/>
    </row>
    <row r="787" spans="1:27" ht="13.5" hidden="1" customHeight="1" x14ac:dyDescent="0.25">
      <c r="A787" s="38"/>
      <c r="B787" s="56"/>
      <c r="C787" s="56"/>
      <c r="D787" s="56"/>
      <c r="E787" s="56"/>
      <c r="F787" s="178"/>
    </row>
    <row r="788" spans="1:27" ht="13.5" hidden="1" customHeight="1" x14ac:dyDescent="0.25">
      <c r="A788" s="38"/>
      <c r="B788" s="56"/>
      <c r="C788" s="56"/>
      <c r="D788" s="56"/>
      <c r="E788" s="56"/>
      <c r="F788" s="178"/>
    </row>
    <row r="789" spans="1:27" ht="13.5" hidden="1" customHeight="1" x14ac:dyDescent="0.25">
      <c r="A789" s="38"/>
      <c r="B789" s="56"/>
      <c r="C789" s="56"/>
      <c r="D789" s="56"/>
      <c r="E789" s="56"/>
      <c r="F789" s="178"/>
    </row>
    <row r="790" spans="1:27" ht="13.5" hidden="1" customHeight="1" x14ac:dyDescent="0.25">
      <c r="A790" s="38"/>
      <c r="B790" s="56"/>
      <c r="C790" s="56"/>
      <c r="D790" s="56"/>
      <c r="E790" s="56"/>
      <c r="F790" s="178"/>
    </row>
    <row r="791" spans="1:27" ht="8.25" hidden="1" customHeight="1" x14ac:dyDescent="0.25">
      <c r="A791" s="38"/>
      <c r="B791" s="56"/>
      <c r="C791" s="56"/>
      <c r="D791" s="56"/>
      <c r="E791" s="56"/>
      <c r="F791" s="178"/>
      <c r="G791" s="178"/>
      <c r="H791" s="178"/>
      <c r="I791" s="178"/>
      <c r="J791" s="178"/>
      <c r="K791" s="178"/>
      <c r="L791" s="178"/>
      <c r="M791" s="178"/>
      <c r="N791" s="178"/>
      <c r="O791" s="178"/>
      <c r="P791" s="178"/>
      <c r="Q791" s="178"/>
      <c r="R791" s="178"/>
      <c r="S791" s="178"/>
      <c r="T791" s="178"/>
      <c r="U791" s="178"/>
      <c r="V791" s="178"/>
      <c r="W791" s="178"/>
      <c r="X791" s="178"/>
      <c r="Y791" s="178"/>
      <c r="Z791" s="178"/>
      <c r="AA791" s="178"/>
    </row>
    <row r="792" spans="1:27" ht="12.75" hidden="1" customHeight="1" x14ac:dyDescent="0.25"/>
    <row r="793" spans="1:27" ht="12.75" hidden="1" customHeight="1" x14ac:dyDescent="0.25"/>
    <row r="794" spans="1:27" ht="12.75" hidden="1" customHeight="1" x14ac:dyDescent="0.25"/>
    <row r="795" spans="1:27" ht="12.75" hidden="1" customHeight="1" x14ac:dyDescent="0.25"/>
    <row r="796" spans="1:27" ht="12.75" hidden="1" customHeight="1" x14ac:dyDescent="0.25"/>
    <row r="797" spans="1:27" ht="12.75" hidden="1" customHeight="1" x14ac:dyDescent="0.25"/>
    <row r="798" spans="1:27" ht="12.75" hidden="1" customHeight="1" x14ac:dyDescent="0.25"/>
    <row r="799" spans="1:27" ht="12.75" hidden="1" customHeight="1" x14ac:dyDescent="0.25"/>
    <row r="800" spans="1:27" ht="12.75" hidden="1" customHeight="1" x14ac:dyDescent="0.25"/>
    <row r="801" ht="12.75" hidden="1" customHeight="1" x14ac:dyDescent="0.25"/>
    <row r="802" ht="12.75" hidden="1" customHeight="1" x14ac:dyDescent="0.25"/>
    <row r="803" ht="12.75" hidden="1" customHeight="1" x14ac:dyDescent="0.25"/>
    <row r="804" ht="12.75" hidden="1" customHeight="1" x14ac:dyDescent="0.25"/>
  </sheetData>
  <sheetProtection algorithmName="SHA-512" hashValue="Ws8+ustlQVMnGnBG25KgZgqhTp5/q5HJ3jKSRwJyiDUcPJo4v803qdWANcXnuSAxahaCWdo+YoptmTbNVV1oeg==" saltValue="PMayXRfMW017XTMPDrgA6w==" spinCount="100000" sheet="1"/>
  <mergeCells count="388">
    <mergeCell ref="X11:AA11"/>
    <mergeCell ref="R49:S49"/>
    <mergeCell ref="R48:U48"/>
    <mergeCell ref="R47:T47"/>
    <mergeCell ref="T49:T57"/>
    <mergeCell ref="X6:AA6"/>
    <mergeCell ref="N7:P7"/>
    <mergeCell ref="S7:U7"/>
    <mergeCell ref="Y7:AA7"/>
    <mergeCell ref="R20:U20"/>
    <mergeCell ref="S16:T16"/>
    <mergeCell ref="S17:T17"/>
    <mergeCell ref="R14:T14"/>
    <mergeCell ref="S15:T15"/>
    <mergeCell ref="R11:U11"/>
    <mergeCell ref="U15:U17"/>
    <mergeCell ref="X20:AA20"/>
    <mergeCell ref="AA15:AA17"/>
    <mergeCell ref="X13:AA13"/>
    <mergeCell ref="Y9:AA9"/>
    <mergeCell ref="X10:AA10"/>
    <mergeCell ref="X12:AA12"/>
    <mergeCell ref="R6:U6"/>
    <mergeCell ref="P15:P17"/>
    <mergeCell ref="Y8:AA8"/>
    <mergeCell ref="H79:H80"/>
    <mergeCell ref="G79:G80"/>
    <mergeCell ref="K35:L37"/>
    <mergeCell ref="H36:J36"/>
    <mergeCell ref="J56:J57"/>
    <mergeCell ref="R56:R57"/>
    <mergeCell ref="R50:R51"/>
    <mergeCell ref="R53:R54"/>
    <mergeCell ref="G58:I58"/>
    <mergeCell ref="O38:O46"/>
    <mergeCell ref="P39:P40"/>
    <mergeCell ref="M50:M51"/>
    <mergeCell ref="N50:N51"/>
    <mergeCell ref="J39:J40"/>
    <mergeCell ref="M35:P35"/>
    <mergeCell ref="R36:U36"/>
    <mergeCell ref="R37:U37"/>
    <mergeCell ref="U42:U43"/>
    <mergeCell ref="U45:U46"/>
    <mergeCell ref="U53:U54"/>
    <mergeCell ref="U56:U57"/>
    <mergeCell ref="M38:N38"/>
    <mergeCell ref="U79:U80"/>
    <mergeCell ref="R71:U72"/>
    <mergeCell ref="R73:R74"/>
    <mergeCell ref="U73:U74"/>
    <mergeCell ref="R79:R80"/>
    <mergeCell ref="P79:P80"/>
    <mergeCell ref="X79:X80"/>
    <mergeCell ref="X71:AA72"/>
    <mergeCell ref="X73:X74"/>
    <mergeCell ref="AA73:AA74"/>
    <mergeCell ref="Y73:Y74"/>
    <mergeCell ref="Z73:Z74"/>
    <mergeCell ref="B84:B85"/>
    <mergeCell ref="C84:C85"/>
    <mergeCell ref="D84:D85"/>
    <mergeCell ref="E84:E85"/>
    <mergeCell ref="G84:G85"/>
    <mergeCell ref="H84:I85"/>
    <mergeCell ref="J84:J85"/>
    <mergeCell ref="M84:M85"/>
    <mergeCell ref="N84:O85"/>
    <mergeCell ref="P84:P85"/>
    <mergeCell ref="R84:R85"/>
    <mergeCell ref="S84:T85"/>
    <mergeCell ref="U84:U85"/>
    <mergeCell ref="Y79:Y80"/>
    <mergeCell ref="Z79:Z80"/>
    <mergeCell ref="AA79:AA80"/>
    <mergeCell ref="P73:P74"/>
    <mergeCell ref="H73:H74"/>
    <mergeCell ref="I73:I74"/>
    <mergeCell ref="M79:M80"/>
    <mergeCell ref="J79:J80"/>
    <mergeCell ref="S73:S74"/>
    <mergeCell ref="T73:T74"/>
    <mergeCell ref="M73:M74"/>
    <mergeCell ref="J73:J74"/>
    <mergeCell ref="X84:X85"/>
    <mergeCell ref="Y84:Z85"/>
    <mergeCell ref="N79:N80"/>
    <mergeCell ref="O79:O80"/>
    <mergeCell ref="S79:S80"/>
    <mergeCell ref="T79:T80"/>
    <mergeCell ref="AA84:AA85"/>
    <mergeCell ref="X48:AA48"/>
    <mergeCell ref="R58:T58"/>
    <mergeCell ref="S59:T59"/>
    <mergeCell ref="Z62:Z63"/>
    <mergeCell ref="AA62:AA63"/>
    <mergeCell ref="P62:P63"/>
    <mergeCell ref="R62:R63"/>
    <mergeCell ref="S62:S63"/>
    <mergeCell ref="T62:T63"/>
    <mergeCell ref="U62:U63"/>
    <mergeCell ref="X62:X63"/>
    <mergeCell ref="Y62:Y63"/>
    <mergeCell ref="Q62:Q68"/>
    <mergeCell ref="X49:Y49"/>
    <mergeCell ref="Z49:Z57"/>
    <mergeCell ref="S50:S51"/>
    <mergeCell ref="U50:U51"/>
    <mergeCell ref="S56:S57"/>
    <mergeCell ref="S53:S54"/>
    <mergeCell ref="P56:P57"/>
    <mergeCell ref="R65:U65"/>
    <mergeCell ref="X65:AA65"/>
    <mergeCell ref="R60:U60"/>
    <mergeCell ref="X60:AA60"/>
    <mergeCell ref="G73:G74"/>
    <mergeCell ref="H62:H63"/>
    <mergeCell ref="G49:H49"/>
    <mergeCell ref="N42:N43"/>
    <mergeCell ref="G53:G54"/>
    <mergeCell ref="G39:G40"/>
    <mergeCell ref="G42:G43"/>
    <mergeCell ref="G50:G51"/>
    <mergeCell ref="G65:J65"/>
    <mergeCell ref="H59:I59"/>
    <mergeCell ref="G66:H67"/>
    <mergeCell ref="H68:I68"/>
    <mergeCell ref="H69:I69"/>
    <mergeCell ref="M66:N67"/>
    <mergeCell ref="N68:O68"/>
    <mergeCell ref="N69:O69"/>
    <mergeCell ref="G45:G46"/>
    <mergeCell ref="G60:J60"/>
    <mergeCell ref="G71:J72"/>
    <mergeCell ref="M71:P72"/>
    <mergeCell ref="P53:P54"/>
    <mergeCell ref="B79:B80"/>
    <mergeCell ref="C79:C80"/>
    <mergeCell ref="I79:I80"/>
    <mergeCell ref="N73:N74"/>
    <mergeCell ref="O73:O74"/>
    <mergeCell ref="C45:C46"/>
    <mergeCell ref="K62:K64"/>
    <mergeCell ref="M62:M63"/>
    <mergeCell ref="N62:N63"/>
    <mergeCell ref="M58:O58"/>
    <mergeCell ref="M60:P60"/>
    <mergeCell ref="I62:I63"/>
    <mergeCell ref="J62:J63"/>
    <mergeCell ref="F65:F68"/>
    <mergeCell ref="C68:D68"/>
    <mergeCell ref="M65:P65"/>
    <mergeCell ref="N59:O59"/>
    <mergeCell ref="O62:O63"/>
    <mergeCell ref="C73:C74"/>
    <mergeCell ref="B71:E72"/>
    <mergeCell ref="D79:D80"/>
    <mergeCell ref="E79:E80"/>
    <mergeCell ref="B73:B74"/>
    <mergeCell ref="J50:J51"/>
    <mergeCell ref="D73:D74"/>
    <mergeCell ref="E73:E74"/>
    <mergeCell ref="E56:E57"/>
    <mergeCell ref="C59:D59"/>
    <mergeCell ref="B65:E65"/>
    <mergeCell ref="X14:Z14"/>
    <mergeCell ref="Y15:Z15"/>
    <mergeCell ref="Y16:Z16"/>
    <mergeCell ref="Y17:Z17"/>
    <mergeCell ref="Y31:Z31"/>
    <mergeCell ref="X32:Z32"/>
    <mergeCell ref="X34:AA34"/>
    <mergeCell ref="X18:AA18"/>
    <mergeCell ref="Z21:Z30"/>
    <mergeCell ref="X58:Z58"/>
    <mergeCell ref="AA39:AA40"/>
    <mergeCell ref="X42:X43"/>
    <mergeCell ref="Y42:Y43"/>
    <mergeCell ref="X50:X51"/>
    <mergeCell ref="Y50:Y51"/>
    <mergeCell ref="AA50:AA51"/>
    <mergeCell ref="N45:N46"/>
    <mergeCell ref="H53:H54"/>
    <mergeCell ref="M49:N49"/>
    <mergeCell ref="Y2:AA2"/>
    <mergeCell ref="H2:K2"/>
    <mergeCell ref="O2:Q2"/>
    <mergeCell ref="C2:G2"/>
    <mergeCell ref="G3:L3"/>
    <mergeCell ref="M3:Q3"/>
    <mergeCell ref="R3:W3"/>
    <mergeCell ref="C4:D4"/>
    <mergeCell ref="S2:W2"/>
    <mergeCell ref="B3:F3"/>
    <mergeCell ref="Y3:AA3"/>
    <mergeCell ref="E4:F5"/>
    <mergeCell ref="G4:G5"/>
    <mergeCell ref="H4:K5"/>
    <mergeCell ref="L4:L5"/>
    <mergeCell ref="M4:M5"/>
    <mergeCell ref="N4:N5"/>
    <mergeCell ref="O4:Q5"/>
    <mergeCell ref="R4:R5"/>
    <mergeCell ref="S4:W5"/>
    <mergeCell ref="C5:D5"/>
    <mergeCell ref="Y4:AA4"/>
    <mergeCell ref="Y5:AA5"/>
    <mergeCell ref="B11:E11"/>
    <mergeCell ref="C7:E7"/>
    <mergeCell ref="H7:J7"/>
    <mergeCell ref="G10:J10"/>
    <mergeCell ref="G12:J12"/>
    <mergeCell ref="O21:O30"/>
    <mergeCell ref="M32:O32"/>
    <mergeCell ref="R18:U18"/>
    <mergeCell ref="T21:T30"/>
    <mergeCell ref="S31:T31"/>
    <mergeCell ref="N9:P9"/>
    <mergeCell ref="R32:T32"/>
    <mergeCell ref="G13:J13"/>
    <mergeCell ref="M10:P10"/>
    <mergeCell ref="S8:U8"/>
    <mergeCell ref="S9:U9"/>
    <mergeCell ref="R10:U10"/>
    <mergeCell ref="R12:U12"/>
    <mergeCell ref="M11:P11"/>
    <mergeCell ref="G18:J18"/>
    <mergeCell ref="N8:P8"/>
    <mergeCell ref="R13:U13"/>
    <mergeCell ref="M12:P12"/>
    <mergeCell ref="B32:D32"/>
    <mergeCell ref="G6:J6"/>
    <mergeCell ref="M6:P6"/>
    <mergeCell ref="B6:E6"/>
    <mergeCell ref="K6:L6"/>
    <mergeCell ref="B18:E18"/>
    <mergeCell ref="H31:I31"/>
    <mergeCell ref="G32:I32"/>
    <mergeCell ref="N15:O15"/>
    <mergeCell ref="N16:O16"/>
    <mergeCell ref="G11:J11"/>
    <mergeCell ref="C9:E9"/>
    <mergeCell ref="C8:E8"/>
    <mergeCell ref="H8:J8"/>
    <mergeCell ref="H9:J9"/>
    <mergeCell ref="M14:O14"/>
    <mergeCell ref="N17:O17"/>
    <mergeCell ref="M13:P13"/>
    <mergeCell ref="B13:E13"/>
    <mergeCell ref="G20:J20"/>
    <mergeCell ref="I21:I30"/>
    <mergeCell ref="D21:D30"/>
    <mergeCell ref="B14:D14"/>
    <mergeCell ref="E15:E17"/>
    <mergeCell ref="B10:E10"/>
    <mergeCell ref="B12:E12"/>
    <mergeCell ref="C17:D17"/>
    <mergeCell ref="H15:I15"/>
    <mergeCell ref="H16:I16"/>
    <mergeCell ref="H17:I17"/>
    <mergeCell ref="J15:J17"/>
    <mergeCell ref="G14:I14"/>
    <mergeCell ref="H56:H57"/>
    <mergeCell ref="H45:H46"/>
    <mergeCell ref="B47:D47"/>
    <mergeCell ref="G47:I47"/>
    <mergeCell ref="B45:B46"/>
    <mergeCell ref="D38:D46"/>
    <mergeCell ref="E45:E46"/>
    <mergeCell ref="E39:E40"/>
    <mergeCell ref="C42:C43"/>
    <mergeCell ref="C39:C40"/>
    <mergeCell ref="B48:E48"/>
    <mergeCell ref="B53:B54"/>
    <mergeCell ref="C53:C54"/>
    <mergeCell ref="G56:G57"/>
    <mergeCell ref="H39:H40"/>
    <mergeCell ref="I38:I46"/>
    <mergeCell ref="H42:H43"/>
    <mergeCell ref="C15:D15"/>
    <mergeCell ref="C16:D16"/>
    <mergeCell ref="N31:O31"/>
    <mergeCell ref="X39:X40"/>
    <mergeCell ref="X38:Y38"/>
    <mergeCell ref="R35:U35"/>
    <mergeCell ref="R38:S38"/>
    <mergeCell ref="X35:AA35"/>
    <mergeCell ref="N33:O33"/>
    <mergeCell ref="Z38:Z46"/>
    <mergeCell ref="Y39:Y40"/>
    <mergeCell ref="Y45:Y46"/>
    <mergeCell ref="C31:D31"/>
    <mergeCell ref="B35:E35"/>
    <mergeCell ref="G34:J34"/>
    <mergeCell ref="G35:J35"/>
    <mergeCell ref="C33:D33"/>
    <mergeCell ref="B34:E34"/>
    <mergeCell ref="H33:I33"/>
    <mergeCell ref="X36:AA36"/>
    <mergeCell ref="M36:P36"/>
    <mergeCell ref="M37:P37"/>
    <mergeCell ref="P42:P43"/>
    <mergeCell ref="P45:P46"/>
    <mergeCell ref="AA42:AA43"/>
    <mergeCell ref="AA45:AA46"/>
    <mergeCell ref="AA53:AA54"/>
    <mergeCell ref="AA56:AA57"/>
    <mergeCell ref="X45:X46"/>
    <mergeCell ref="X47:Z47"/>
    <mergeCell ref="M34:P34"/>
    <mergeCell ref="M18:P18"/>
    <mergeCell ref="B20:E20"/>
    <mergeCell ref="M20:P20"/>
    <mergeCell ref="B56:B57"/>
    <mergeCell ref="C56:C57"/>
    <mergeCell ref="D49:D57"/>
    <mergeCell ref="E53:E54"/>
    <mergeCell ref="B49:C49"/>
    <mergeCell ref="J53:J54"/>
    <mergeCell ref="O49:O57"/>
    <mergeCell ref="P50:P51"/>
    <mergeCell ref="M56:M57"/>
    <mergeCell ref="B36:E36"/>
    <mergeCell ref="B38:C38"/>
    <mergeCell ref="B39:B40"/>
    <mergeCell ref="E42:E43"/>
    <mergeCell ref="B42:B43"/>
    <mergeCell ref="R45:R46"/>
    <mergeCell ref="X56:X57"/>
    <mergeCell ref="Y56:Y57"/>
    <mergeCell ref="Y53:Y54"/>
    <mergeCell ref="X53:X54"/>
    <mergeCell ref="Y33:Z33"/>
    <mergeCell ref="G37:J37"/>
    <mergeCell ref="J42:J43"/>
    <mergeCell ref="J45:J46"/>
    <mergeCell ref="R34:U34"/>
    <mergeCell ref="M53:M54"/>
    <mergeCell ref="N53:N54"/>
    <mergeCell ref="N56:N57"/>
    <mergeCell ref="I49:I57"/>
    <mergeCell ref="G38:H38"/>
    <mergeCell ref="G48:J48"/>
    <mergeCell ref="M48:P48"/>
    <mergeCell ref="N39:N40"/>
    <mergeCell ref="R42:R43"/>
    <mergeCell ref="R39:R40"/>
    <mergeCell ref="Q35:Q50"/>
    <mergeCell ref="S45:S46"/>
    <mergeCell ref="S42:S43"/>
    <mergeCell ref="T38:T46"/>
    <mergeCell ref="C69:D69"/>
    <mergeCell ref="C64:D64"/>
    <mergeCell ref="H64:I64"/>
    <mergeCell ref="N64:O64"/>
    <mergeCell ref="S64:T64"/>
    <mergeCell ref="Y64:Z64"/>
    <mergeCell ref="R66:S67"/>
    <mergeCell ref="S68:T68"/>
    <mergeCell ref="S69:T69"/>
    <mergeCell ref="X66:Y67"/>
    <mergeCell ref="Y68:Z68"/>
    <mergeCell ref="Y69:Z69"/>
    <mergeCell ref="B66:C67"/>
    <mergeCell ref="U39:U40"/>
    <mergeCell ref="M47:O47"/>
    <mergeCell ref="M45:M46"/>
    <mergeCell ref="X37:AA37"/>
    <mergeCell ref="B62:B63"/>
    <mergeCell ref="C62:C63"/>
    <mergeCell ref="S33:T33"/>
    <mergeCell ref="B37:E37"/>
    <mergeCell ref="F38:F59"/>
    <mergeCell ref="B50:B51"/>
    <mergeCell ref="C50:C51"/>
    <mergeCell ref="E50:E51"/>
    <mergeCell ref="B58:D58"/>
    <mergeCell ref="M39:M40"/>
    <mergeCell ref="M42:M43"/>
    <mergeCell ref="H50:H51"/>
    <mergeCell ref="S39:S40"/>
    <mergeCell ref="D62:D63"/>
    <mergeCell ref="E62:E63"/>
    <mergeCell ref="F62:F64"/>
    <mergeCell ref="G62:G63"/>
    <mergeCell ref="B60:E60"/>
    <mergeCell ref="L62:L69"/>
    <mergeCell ref="Y59:Z59"/>
  </mergeCells>
  <phoneticPr fontId="5" type="noConversion"/>
  <conditionalFormatting sqref="V21">
    <cfRule type="cellIs" dxfId="143" priority="730" stopIfTrue="1" operator="greaterThan">
      <formula>$P$21</formula>
    </cfRule>
  </conditionalFormatting>
  <conditionalFormatting sqref="B48:E58">
    <cfRule type="expression" dxfId="142" priority="124">
      <formula>$C$7="Ephemeral"</formula>
    </cfRule>
    <cfRule type="expression" dxfId="141" priority="731">
      <formula>$AD$35=FALSE</formula>
    </cfRule>
  </conditionalFormatting>
  <conditionalFormatting sqref="B20:E20">
    <cfRule type="cellIs" dxfId="140" priority="419" operator="equal">
      <formula>"Select an RBP Data Sheet"</formula>
    </cfRule>
  </conditionalFormatting>
  <conditionalFormatting sqref="B20:E32">
    <cfRule type="expression" dxfId="139" priority="411">
      <formula>$AD$20=FALSE</formula>
    </cfRule>
  </conditionalFormatting>
  <conditionalFormatting sqref="B69:C69 E69">
    <cfRule type="expression" dxfId="138" priority="397">
      <formula>#REF!="Check Data"</formula>
    </cfRule>
  </conditionalFormatting>
  <conditionalFormatting sqref="B13:E17">
    <cfRule type="expression" dxfId="137" priority="738">
      <formula>$AD$12=TRUE</formula>
    </cfRule>
  </conditionalFormatting>
  <conditionalFormatting sqref="E39:E40 E42:E43 E45:E46">
    <cfRule type="expression" dxfId="136" priority="757">
      <formula>AND($AD$35=FALSE,$AD$36=FALSE,$C$7&lt;&gt;"Ephemeral")</formula>
    </cfRule>
  </conditionalFormatting>
  <conditionalFormatting sqref="B65:E67 B68:C68 E68">
    <cfRule type="expression" dxfId="135" priority="760">
      <formula>$AD$65=FALSE</formula>
    </cfRule>
  </conditionalFormatting>
  <conditionalFormatting sqref="G13:J17">
    <cfRule type="expression" dxfId="134" priority="395">
      <formula>$AE$12=TRUE</formula>
    </cfRule>
  </conditionalFormatting>
  <conditionalFormatting sqref="M13:P17">
    <cfRule type="expression" dxfId="133" priority="199">
      <formula>$AE$12=TRUE</formula>
    </cfRule>
  </conditionalFormatting>
  <conditionalFormatting sqref="R13:U17">
    <cfRule type="expression" dxfId="132" priority="196">
      <formula>$AE$12=TRUE</formula>
    </cfRule>
  </conditionalFormatting>
  <conditionalFormatting sqref="X13:AA17">
    <cfRule type="expression" dxfId="131" priority="193">
      <formula>$AE$12=TRUE</formula>
    </cfRule>
  </conditionalFormatting>
  <conditionalFormatting sqref="M20:P32 R20:U32 X20:AA32 G20:J32">
    <cfRule type="expression" dxfId="130" priority="123" stopIfTrue="1">
      <formula>$AE$20=FALSE</formula>
    </cfRule>
  </conditionalFormatting>
  <conditionalFormatting sqref="R20:U30">
    <cfRule type="expression" dxfId="129" priority="171">
      <formula>$AE$20=FALSE</formula>
    </cfRule>
  </conditionalFormatting>
  <conditionalFormatting sqref="X20:AA30">
    <cfRule type="expression" dxfId="128" priority="161">
      <formula>$AE$20=FALSE</formula>
    </cfRule>
  </conditionalFormatting>
  <conditionalFormatting sqref="G48:J58 M48:P58 R48:U58 X48:AA58">
    <cfRule type="expression" dxfId="127" priority="304">
      <formula>$AE$35=FALSE</formula>
    </cfRule>
  </conditionalFormatting>
  <conditionalFormatting sqref="R6:U11 R68:U69 T66:U67 R13:U65">
    <cfRule type="expression" dxfId="126" priority="27" stopIfTrue="1">
      <formula>$G$4="PRESERVATION"</formula>
    </cfRule>
  </conditionalFormatting>
  <conditionalFormatting sqref="B61:E63 B68:C68 E68 B65:E67 B64:C64 E64">
    <cfRule type="expression" dxfId="125" priority="113" stopIfTrue="1">
      <formula>$C$7="Ephemeral"</formula>
    </cfRule>
    <cfRule type="expression" dxfId="124" priority="114" stopIfTrue="1">
      <formula>$AD$66=FALSE</formula>
    </cfRule>
  </conditionalFormatting>
  <conditionalFormatting sqref="R35:U47">
    <cfRule type="expression" dxfId="123" priority="258">
      <formula>$H$7="Ephemeral"</formula>
    </cfRule>
  </conditionalFormatting>
  <conditionalFormatting sqref="X35:AA47">
    <cfRule type="expression" dxfId="122" priority="257">
      <formula>$H$7="Ephemeral"</formula>
    </cfRule>
  </conditionalFormatting>
  <conditionalFormatting sqref="X18:AA18">
    <cfRule type="expression" dxfId="121" priority="244">
      <formula>$G$4="PRESERVATION"</formula>
    </cfRule>
  </conditionalFormatting>
  <conditionalFormatting sqref="G38:J46 G48:J58">
    <cfRule type="expression" dxfId="120" priority="119">
      <formula>$G$4="Establishment"</formula>
    </cfRule>
  </conditionalFormatting>
  <conditionalFormatting sqref="J31">
    <cfRule type="expression" dxfId="119" priority="225">
      <formula>$AD$20=FALSE</formula>
    </cfRule>
  </conditionalFormatting>
  <conditionalFormatting sqref="AA31">
    <cfRule type="expression" dxfId="118" priority="222">
      <formula>$AD$20=FALSE</formula>
    </cfRule>
  </conditionalFormatting>
  <conditionalFormatting sqref="R20:U20">
    <cfRule type="expression" dxfId="117" priority="205">
      <formula>$AE$20=FALSE</formula>
    </cfRule>
  </conditionalFormatting>
  <conditionalFormatting sqref="R20:U20">
    <cfRule type="expression" dxfId="116" priority="204">
      <formula>$G$4="PRESERVATION"</formula>
    </cfRule>
  </conditionalFormatting>
  <conditionalFormatting sqref="X20:AA20">
    <cfRule type="expression" dxfId="115" priority="203">
      <formula>$AE$20=FALSE</formula>
    </cfRule>
  </conditionalFormatting>
  <conditionalFormatting sqref="X20:AA20">
    <cfRule type="expression" dxfId="114" priority="202">
      <formula>$G$4="PRESERVATION"</formula>
    </cfRule>
  </conditionalFormatting>
  <conditionalFormatting sqref="N15:O15">
    <cfRule type="cellIs" dxfId="113" priority="394" operator="greaterThan">
      <formula>$H$15</formula>
    </cfRule>
  </conditionalFormatting>
  <conditionalFormatting sqref="N16:O16">
    <cfRule type="cellIs" dxfId="112" priority="201" operator="greaterThan">
      <formula>$H$16</formula>
    </cfRule>
  </conditionalFormatting>
  <conditionalFormatting sqref="N17:O17">
    <cfRule type="cellIs" dxfId="111" priority="200" operator="greaterThan">
      <formula>$H$17</formula>
    </cfRule>
  </conditionalFormatting>
  <conditionalFormatting sqref="S15:T15">
    <cfRule type="cellIs" dxfId="110" priority="393" operator="greaterThan">
      <formula>$N$15</formula>
    </cfRule>
  </conditionalFormatting>
  <conditionalFormatting sqref="S16:T16">
    <cfRule type="cellIs" dxfId="109" priority="198" operator="greaterThan">
      <formula>$N$16</formula>
    </cfRule>
  </conditionalFormatting>
  <conditionalFormatting sqref="S17:T17">
    <cfRule type="cellIs" dxfId="108" priority="197" operator="greaterThan">
      <formula>$N$17</formula>
    </cfRule>
  </conditionalFormatting>
  <conditionalFormatting sqref="Y15:Z15">
    <cfRule type="cellIs" dxfId="107" priority="392" operator="greaterThan">
      <formula>$S$15</formula>
    </cfRule>
  </conditionalFormatting>
  <conditionalFormatting sqref="Y16:Z16">
    <cfRule type="cellIs" dxfId="106" priority="195" operator="greaterThan">
      <formula>$S$16</formula>
    </cfRule>
  </conditionalFormatting>
  <conditionalFormatting sqref="Y17:Z17">
    <cfRule type="cellIs" dxfId="105" priority="194" operator="greaterThan">
      <formula>$S$17</formula>
    </cfRule>
  </conditionalFormatting>
  <conditionalFormatting sqref="P21">
    <cfRule type="cellIs" dxfId="104" priority="377" operator="greaterThan">
      <formula>$J$21</formula>
    </cfRule>
  </conditionalFormatting>
  <conditionalFormatting sqref="P22">
    <cfRule type="cellIs" dxfId="103" priority="359" operator="greaterThan">
      <formula>$J$22</formula>
    </cfRule>
  </conditionalFormatting>
  <conditionalFormatting sqref="P23">
    <cfRule type="cellIs" dxfId="102" priority="351" operator="greaterThan">
      <formula>$J$23</formula>
    </cfRule>
  </conditionalFormatting>
  <conditionalFormatting sqref="P24">
    <cfRule type="cellIs" dxfId="101" priority="220" operator="greaterThan">
      <formula>$J$24</formula>
    </cfRule>
  </conditionalFormatting>
  <conditionalFormatting sqref="P25">
    <cfRule type="cellIs" dxfId="100" priority="189" operator="greaterThan">
      <formula>$J$25</formula>
    </cfRule>
  </conditionalFormatting>
  <conditionalFormatting sqref="P26">
    <cfRule type="cellIs" dxfId="99" priority="188" operator="greaterThan">
      <formula>$J$26</formula>
    </cfRule>
  </conditionalFormatting>
  <conditionalFormatting sqref="P27">
    <cfRule type="cellIs" dxfId="98" priority="187" operator="greaterThan">
      <formula>$J$27</formula>
    </cfRule>
  </conditionalFormatting>
  <conditionalFormatting sqref="P28">
    <cfRule type="cellIs" dxfId="97" priority="186" operator="greaterThan">
      <formula>$J$28</formula>
    </cfRule>
  </conditionalFormatting>
  <conditionalFormatting sqref="P29">
    <cfRule type="cellIs" dxfId="96" priority="185" operator="greaterThan">
      <formula>$J$29</formula>
    </cfRule>
  </conditionalFormatting>
  <conditionalFormatting sqref="P30">
    <cfRule type="cellIs" dxfId="95" priority="184" operator="greaterThan">
      <formula>$J$30</formula>
    </cfRule>
  </conditionalFormatting>
  <conditionalFormatting sqref="U21">
    <cfRule type="cellIs" dxfId="94" priority="350" operator="greaterThan">
      <formula>$P$21</formula>
    </cfRule>
  </conditionalFormatting>
  <conditionalFormatting sqref="U22">
    <cfRule type="cellIs" dxfId="93" priority="342" operator="greaterThan">
      <formula>$P$22</formula>
    </cfRule>
  </conditionalFormatting>
  <conditionalFormatting sqref="U23">
    <cfRule type="cellIs" dxfId="92" priority="218" operator="greaterThan">
      <formula>$P$23</formula>
    </cfRule>
  </conditionalFormatting>
  <conditionalFormatting sqref="U24">
    <cfRule type="cellIs" dxfId="91" priority="180" operator="greaterThan">
      <formula>$P$24</formula>
    </cfRule>
  </conditionalFormatting>
  <conditionalFormatting sqref="U25">
    <cfRule type="cellIs" dxfId="90" priority="179" operator="greaterThan">
      <formula>$P$25</formula>
    </cfRule>
  </conditionalFormatting>
  <conditionalFormatting sqref="U26">
    <cfRule type="cellIs" dxfId="89" priority="178" operator="greaterThan">
      <formula>$P$26</formula>
    </cfRule>
  </conditionalFormatting>
  <conditionalFormatting sqref="U27">
    <cfRule type="cellIs" dxfId="88" priority="177" operator="greaterThan">
      <formula>$P$27</formula>
    </cfRule>
  </conditionalFormatting>
  <conditionalFormatting sqref="U28">
    <cfRule type="cellIs" dxfId="87" priority="176" operator="greaterThan">
      <formula>$P$28</formula>
    </cfRule>
  </conditionalFormatting>
  <conditionalFormatting sqref="U29">
    <cfRule type="cellIs" dxfId="86" priority="175" operator="greaterThan">
      <formula>$P$29</formula>
    </cfRule>
  </conditionalFormatting>
  <conditionalFormatting sqref="U30">
    <cfRule type="cellIs" dxfId="85" priority="174" operator="greaterThan">
      <formula>$P$30</formula>
    </cfRule>
  </conditionalFormatting>
  <conditionalFormatting sqref="AA21">
    <cfRule type="cellIs" dxfId="84" priority="341" operator="greaterThan">
      <formula>$U$21</formula>
    </cfRule>
  </conditionalFormatting>
  <conditionalFormatting sqref="AA22">
    <cfRule type="cellIs" dxfId="83" priority="333" operator="greaterThan">
      <formula>$U$22</formula>
    </cfRule>
  </conditionalFormatting>
  <conditionalFormatting sqref="AA23">
    <cfRule type="cellIs" dxfId="82" priority="217" operator="greaterThan">
      <formula>$U$23</formula>
    </cfRule>
  </conditionalFormatting>
  <conditionalFormatting sqref="AA24">
    <cfRule type="cellIs" dxfId="81" priority="170" operator="greaterThan">
      <formula>$U$24</formula>
    </cfRule>
  </conditionalFormatting>
  <conditionalFormatting sqref="AA25">
    <cfRule type="cellIs" dxfId="80" priority="169" operator="greaterThan">
      <formula>$U$25</formula>
    </cfRule>
  </conditionalFormatting>
  <conditionalFormatting sqref="AA26">
    <cfRule type="cellIs" dxfId="79" priority="168" operator="greaterThan">
      <formula>$U$26</formula>
    </cfRule>
  </conditionalFormatting>
  <conditionalFormatting sqref="AA27">
    <cfRule type="cellIs" dxfId="78" priority="167" operator="greaterThan">
      <formula>$U$27</formula>
    </cfRule>
  </conditionalFormatting>
  <conditionalFormatting sqref="AA28">
    <cfRule type="cellIs" dxfId="77" priority="166" operator="greaterThan">
      <formula>$U$28</formula>
    </cfRule>
  </conditionalFormatting>
  <conditionalFormatting sqref="AA29">
    <cfRule type="cellIs" dxfId="76" priority="165" operator="greaterThan">
      <formula>$U$29</formula>
    </cfRule>
  </conditionalFormatting>
  <conditionalFormatting sqref="AA30">
    <cfRule type="cellIs" dxfId="75" priority="164" operator="greaterThan">
      <formula>$U$30</formula>
    </cfRule>
  </conditionalFormatting>
  <conditionalFormatting sqref="G15:I17 G19:J32">
    <cfRule type="expression" dxfId="74" priority="121">
      <formula>$G$4="Establishment"</formula>
    </cfRule>
  </conditionalFormatting>
  <conditionalFormatting sqref="J33">
    <cfRule type="expression" dxfId="73" priority="117" stopIfTrue="1">
      <formula>$AD$4=FALSE</formula>
    </cfRule>
  </conditionalFormatting>
  <conditionalFormatting sqref="U33">
    <cfRule type="expression" dxfId="72" priority="116">
      <formula>$AD$4=FALSE</formula>
    </cfRule>
  </conditionalFormatting>
  <conditionalFormatting sqref="AA33">
    <cfRule type="expression" dxfId="71" priority="115">
      <formula>$AD$4=FALSE</formula>
    </cfRule>
  </conditionalFormatting>
  <conditionalFormatting sqref="B61:E63 B64:C64 E64">
    <cfRule type="expression" dxfId="70" priority="267">
      <formula>$AD$65=TRUE</formula>
    </cfRule>
  </conditionalFormatting>
  <conditionalFormatting sqref="B35:E47">
    <cfRule type="expression" dxfId="69" priority="112">
      <formula>$C$7="Ephemeral"</formula>
    </cfRule>
  </conditionalFormatting>
  <conditionalFormatting sqref="G61:J64">
    <cfRule type="expression" dxfId="68" priority="120">
      <formula>$AE$65=TRUE</formula>
    </cfRule>
  </conditionalFormatting>
  <conditionalFormatting sqref="G69:H69 J69">
    <cfRule type="expression" dxfId="67" priority="74">
      <formula>#REF!="Check Data"</formula>
    </cfRule>
  </conditionalFormatting>
  <conditionalFormatting sqref="G65:J68">
    <cfRule type="expression" dxfId="66" priority="87">
      <formula>$AE$65=FALSE</formula>
    </cfRule>
  </conditionalFormatting>
  <conditionalFormatting sqref="G61:J68">
    <cfRule type="expression" dxfId="65" priority="30">
      <formula>$G$4="Establishment"</formula>
    </cfRule>
    <cfRule type="expression" dxfId="64" priority="72" stopIfTrue="1">
      <formula>$H$7="Ephemeral"</formula>
    </cfRule>
  </conditionalFormatting>
  <conditionalFormatting sqref="M6:P11 M13:P69">
    <cfRule type="expression" dxfId="63" priority="15" stopIfTrue="1">
      <formula>$Y$4=""</formula>
    </cfRule>
    <cfRule type="expression" dxfId="62" priority="25" stopIfTrue="1">
      <formula>$G$4="Preservation"</formula>
    </cfRule>
  </conditionalFormatting>
  <conditionalFormatting sqref="M61:P64">
    <cfRule type="expression" dxfId="61" priority="57">
      <formula>$AE$65=TRUE</formula>
    </cfRule>
  </conditionalFormatting>
  <conditionalFormatting sqref="M65:P68">
    <cfRule type="expression" dxfId="60" priority="55">
      <formula>$AE$65=FALSE</formula>
    </cfRule>
  </conditionalFormatting>
  <conditionalFormatting sqref="M61:P68">
    <cfRule type="expression" dxfId="59" priority="28" stopIfTrue="1">
      <formula>$H$7="Ephemeral"</formula>
    </cfRule>
  </conditionalFormatting>
  <conditionalFormatting sqref="R65:U65 R68:U68 T66:U67">
    <cfRule type="expression" dxfId="58" priority="36">
      <formula>$AE$65=FALSE</formula>
    </cfRule>
  </conditionalFormatting>
  <conditionalFormatting sqref="R61:U65 R68:U68 T66:U67">
    <cfRule type="expression" dxfId="57" priority="24" stopIfTrue="1">
      <formula>$H$7="Ephemeral"</formula>
    </cfRule>
  </conditionalFormatting>
  <conditionalFormatting sqref="X65:AA65 X68:AA68 Z66:AA67">
    <cfRule type="expression" dxfId="56" priority="32">
      <formula>$AE$65=FALSE</formula>
    </cfRule>
  </conditionalFormatting>
  <conditionalFormatting sqref="R61:U64">
    <cfRule type="expression" dxfId="55" priority="42">
      <formula>$AE$65=TRUE</formula>
    </cfRule>
  </conditionalFormatting>
  <conditionalFormatting sqref="X61:AA64">
    <cfRule type="expression" dxfId="54" priority="33">
      <formula>$AE$65=TRUE</formula>
    </cfRule>
  </conditionalFormatting>
  <conditionalFormatting sqref="X61:AA65 X68:AA68 Z66:AA67">
    <cfRule type="expression" dxfId="53" priority="23" stopIfTrue="1">
      <formula>$H$7="Ephemeral"</formula>
    </cfRule>
  </conditionalFormatting>
  <conditionalFormatting sqref="X6:AA11 X68:AA69 Z66:AA67 X13:AA65">
    <cfRule type="expression" dxfId="52" priority="26">
      <formula>$G$4="Preservation"</formula>
    </cfRule>
  </conditionalFormatting>
  <conditionalFormatting sqref="G35:J47">
    <cfRule type="expression" dxfId="51" priority="234">
      <formula>$H$7="Ephemeral"</formula>
    </cfRule>
  </conditionalFormatting>
  <conditionalFormatting sqref="M35:P47">
    <cfRule type="expression" dxfId="50" priority="29">
      <formula>$H$7="Ephemeral"</formula>
    </cfRule>
  </conditionalFormatting>
  <conditionalFormatting sqref="P62:P63">
    <cfRule type="expression" dxfId="49" priority="59">
      <formula>$P$62&gt;$J$62</formula>
    </cfRule>
  </conditionalFormatting>
  <conditionalFormatting sqref="U62:U63">
    <cfRule type="expression" dxfId="48" priority="44">
      <formula>$U$62&gt;$P$62</formula>
    </cfRule>
  </conditionalFormatting>
  <conditionalFormatting sqref="AA62:AA63">
    <cfRule type="expression" dxfId="47" priority="41">
      <formula>$AA$62&gt;$U$62</formula>
    </cfRule>
  </conditionalFormatting>
  <conditionalFormatting sqref="P66">
    <cfRule type="expression" dxfId="46" priority="58">
      <formula>$P$66&gt;$J$66</formula>
    </cfRule>
  </conditionalFormatting>
  <conditionalFormatting sqref="U66">
    <cfRule type="expression" dxfId="45" priority="43">
      <formula>$U$66&gt;$P$66</formula>
    </cfRule>
  </conditionalFormatting>
  <conditionalFormatting sqref="AA66">
    <cfRule type="expression" dxfId="44" priority="34">
      <formula>$AA$66&gt;$U$66</formula>
    </cfRule>
  </conditionalFormatting>
  <conditionalFormatting sqref="G18:J18">
    <cfRule type="expression" dxfId="43" priority="22" stopIfTrue="1">
      <formula>$G$4="Preservation"</formula>
    </cfRule>
  </conditionalFormatting>
  <conditionalFormatting sqref="R66:S67">
    <cfRule type="expression" dxfId="42" priority="20" stopIfTrue="1">
      <formula>$G$4="Preservation"</formula>
    </cfRule>
  </conditionalFormatting>
  <conditionalFormatting sqref="R66:S67">
    <cfRule type="expression" dxfId="41" priority="21">
      <formula>$AE$65=FALSE</formula>
    </cfRule>
  </conditionalFormatting>
  <conditionalFormatting sqref="R66:S67">
    <cfRule type="expression" dxfId="40" priority="19" stopIfTrue="1">
      <formula>$H$7="Ephemeral"</formula>
    </cfRule>
  </conditionalFormatting>
  <conditionalFormatting sqref="X66:Y67">
    <cfRule type="expression" dxfId="39" priority="17" stopIfTrue="1">
      <formula>$G$4="Preservation"</formula>
    </cfRule>
  </conditionalFormatting>
  <conditionalFormatting sqref="X66:Y67">
    <cfRule type="expression" dxfId="38" priority="18">
      <formula>$AE$65=FALSE</formula>
    </cfRule>
  </conditionalFormatting>
  <conditionalFormatting sqref="X66:Y67">
    <cfRule type="expression" dxfId="37" priority="16" stopIfTrue="1">
      <formula>$H$7="Ephemeral"</formula>
    </cfRule>
  </conditionalFormatting>
  <conditionalFormatting sqref="G6:J11 G13:J69">
    <cfRule type="expression" dxfId="36" priority="14" stopIfTrue="1">
      <formula>$Y$4=""</formula>
    </cfRule>
  </conditionalFormatting>
  <conditionalFormatting sqref="R6:U11 R13:U69">
    <cfRule type="expression" dxfId="35" priority="13" stopIfTrue="1">
      <formula>$Y$4=""</formula>
    </cfRule>
  </conditionalFormatting>
  <conditionalFormatting sqref="X6:AA11 X13:AA69">
    <cfRule type="expression" dxfId="34" priority="12" stopIfTrue="1">
      <formula>$Y$4=""</formula>
    </cfRule>
  </conditionalFormatting>
  <dataValidations disablePrompts="1" count="17">
    <dataValidation type="list" allowBlank="1" showInputMessage="1" showErrorMessage="1" sqref="G4:G5" xr:uid="{00000000-0002-0000-0300-000000000000}">
      <formula1>$AK$13:$AK$16</formula1>
    </dataValidation>
    <dataValidation type="list" allowBlank="1" showInputMessage="1" showErrorMessage="1" sqref="K20" xr:uid="{00000000-0002-0000-0300-000001000000}">
      <formula1>$AM$13:$AM$14</formula1>
    </dataValidation>
    <dataValidation type="decimal" allowBlank="1" showInputMessage="1" showErrorMessage="1" errorTitle="HGM FCIs" error="HGM FCIs must be 0-1." sqref="C15:D17 H15:I17 N15:O17 S15:T17 Y15:Z17" xr:uid="{00000000-0002-0000-0300-000002000000}">
      <formula1>0</formula1>
      <formula2>1</formula2>
    </dataValidation>
    <dataValidation type="decimal" operator="greaterThanOrEqual" allowBlank="1" showInputMessage="1" showErrorMessage="1" error="Total Iron must be a number greater than or equal to 0." sqref="E50:E51 J50:J51 P50:P51 U50:U51 AA50:AA51" xr:uid="{00000000-0002-0000-0300-000003000000}">
      <formula1>0</formula1>
    </dataValidation>
    <dataValidation type="decimal" operator="greaterThanOrEqual" allowBlank="1" showInputMessage="1" showErrorMessage="1" error="Total Aluminum must be a number greater than or equal to 0." sqref="E53:E54 J53:J54 P53:P54 U53:U54 AA53:AA54" xr:uid="{00000000-0002-0000-0300-000004000000}">
      <formula1>0</formula1>
    </dataValidation>
    <dataValidation type="decimal" operator="greaterThanOrEqual" allowBlank="1" showInputMessage="1" showErrorMessage="1" error="Total Manganese must be a number greater than or equal to 0." sqref="E56:E57 J56:J57 P56:P57 U56:U57 AA56:AA57" xr:uid="{00000000-0002-0000-0300-000005000000}">
      <formula1>0</formula1>
    </dataValidation>
    <dataValidation type="decimal" operator="greaterThanOrEqual" allowBlank="1" showInputMessage="1" showErrorMessage="1" error="Specific Conductivity must be a whole number greater than or equal to 0." sqref="E39:E40 J39:J40 P39:P40 U39:U40 AA39:AA40" xr:uid="{00000000-0002-0000-0300-000006000000}">
      <formula1>0</formula1>
    </dataValidation>
    <dataValidation type="decimal" allowBlank="1" showInputMessage="1" showErrorMessage="1" error="pH must be between 0 and 14, inclusive." sqref="E42:E43 J42:J43 P42:P43 U42:U43 AA42:AA43" xr:uid="{00000000-0002-0000-0300-000007000000}">
      <formula1>0</formula1>
      <formula2>14</formula2>
    </dataValidation>
    <dataValidation type="decimal" operator="greaterThanOrEqual" allowBlank="1" showInputMessage="1" showErrorMessage="1" error="Dissolved Oxygen must be a number greater than or equal to 0." sqref="P45:P46 U45:U46 E45:E46 J45:J46 AA45:AA46" xr:uid="{00000000-0002-0000-0300-000008000000}">
      <formula1>0</formula1>
    </dataValidation>
    <dataValidation type="decimal" operator="greaterThanOrEqual" allowBlank="1" showInputMessage="1" showErrorMessage="1" error="Please enter a positive number." sqref="C4:D5" xr:uid="{00000000-0002-0000-0300-00000A000000}">
      <formula1>0</formula1>
    </dataValidation>
    <dataValidation type="list" allowBlank="1" showInputMessage="1" showErrorMessage="1" sqref="B20:E20 G20 M20 R20 X20" xr:uid="{00000000-0002-0000-0300-00000B000000}">
      <formula1>RPBDataSheet</formula1>
    </dataValidation>
    <dataValidation type="whole" allowBlank="1" showInputMessage="1" showErrorMessage="1" error="Data must be an integer between 0 and 20." sqref="E21:E30 AA21:AA30 J21:J30 P21:P30 U21:U30" xr:uid="{00000000-0002-0000-0300-00000C000000}">
      <formula1>0</formula1>
      <formula2>20</formula2>
    </dataValidation>
    <dataValidation type="list" allowBlank="1" showInputMessage="1" showErrorMessage="1" sqref="C7:E7 H7:J7" xr:uid="{00000000-0002-0000-0300-000013000000}">
      <formula1>StreamClass1</formula1>
    </dataValidation>
    <dataValidation type="list" allowBlank="1" showInputMessage="1" showErrorMessage="1" sqref="C9 H9" xr:uid="{00000000-0002-0000-0300-000014000000}">
      <formula1>Ecoregions</formula1>
    </dataValidation>
    <dataValidation type="decimal" operator="greaterThanOrEqual" allowBlank="1" showInputMessage="1" showErrorMessage="1" sqref="Y5:AA5" xr:uid="{00000000-0002-0000-0300-000016000000}">
      <formula1>0</formula1>
    </dataValidation>
    <dataValidation type="decimal" allowBlank="1" showInputMessage="1" showErrorMessage="1" error="Percent slope must be between 0 and 100, inclusive." sqref="C8:E8" xr:uid="{00000000-0002-0000-0300-00001A000000}">
      <formula1>0</formula1>
      <formula2>100</formula2>
    </dataValidation>
    <dataValidation type="decimal" allowBlank="1" showInputMessage="1" showErrorMessage="1" sqref="J62:J63 E62:E63 P62:P63 U62:U63 AA62:AA63" xr:uid="{37D407A2-0A45-47EA-8A69-C3028546636A}">
      <formula1>0</formula1>
      <formula2>100</formula2>
    </dataValidation>
  </dataValidations>
  <printOptions horizontalCentered="1" verticalCentered="1"/>
  <pageMargins left="0.25" right="0.25" top="0.5" bottom="0.25" header="0.3" footer="0.3"/>
  <pageSetup paperSize="3" scale="56" orientation="landscape" r:id="rId1"/>
  <headerFooter scaleWithDoc="0">
    <oddHeader>&amp;CStreams Parts I-II
West Virginia Stream and Wetland Valuation Metric (SWVM) 7-30-24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0" r:id="rId4" name="Check Box 8">
              <controlPr defaultSize="0" autoFill="0" autoLine="0" autoPict="0">
                <anchor moveWithCells="1">
                  <from>
                    <xdr:col>1</xdr:col>
                    <xdr:colOff>7620</xdr:colOff>
                    <xdr:row>34</xdr:row>
                    <xdr:rowOff>198120</xdr:rowOff>
                  </from>
                  <to>
                    <xdr:col>4</xdr:col>
                    <xdr:colOff>190500</xdr:colOff>
                    <xdr:row>36</xdr:row>
                    <xdr:rowOff>99060</xdr:rowOff>
                  </to>
                </anchor>
              </controlPr>
            </control>
          </mc:Choice>
        </mc:AlternateContent>
        <mc:AlternateContent xmlns:mc="http://schemas.openxmlformats.org/markup-compatibility/2006">
          <mc:Choice Requires="x14">
            <control shapeId="13597" r:id="rId5" name="Check Box 285">
              <controlPr defaultSize="0" autoFill="0" autoLine="0" autoPict="0">
                <anchor moveWithCells="1">
                  <from>
                    <xdr:col>1</xdr:col>
                    <xdr:colOff>2537460</xdr:colOff>
                    <xdr:row>59</xdr:row>
                    <xdr:rowOff>373380</xdr:rowOff>
                  </from>
                  <to>
                    <xdr:col>5</xdr:col>
                    <xdr:colOff>365760</xdr:colOff>
                    <xdr:row>59</xdr:row>
                    <xdr:rowOff>579120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6" id="{F09EEF47-21AF-4F89-A763-D03E6E0F03C3}">
            <xm:f>AND($C$7="Ephemeral",$B$20='Lists and Arrays'!$B$35)</xm:f>
            <x14:dxf>
              <font>
                <color theme="0" tint="-0.499984740745262"/>
              </font>
              <fill>
                <patternFill>
                  <bgColor theme="0" tint="-0.24994659260841701"/>
                </patternFill>
              </fill>
            </x14:dxf>
          </x14:cfRule>
          <xm:sqref>B21:C21 E21 B23:C23 E23 B25:C25 E25 B27:C27 E27</xm:sqref>
        </x14:conditionalFormatting>
        <x14:conditionalFormatting xmlns:xm="http://schemas.microsoft.com/office/excel/2006/main">
          <x14:cfRule type="expression" priority="183" id="{205DDA5A-213F-43B1-BD08-4283960D6F90}">
            <xm:f>AND($H$7="Ephemeral",$M$20='Lists and Arrays'!$B$35)</xm:f>
            <x14:dxf>
              <font>
                <color theme="0" tint="-0.499984740745262"/>
              </font>
              <fill>
                <patternFill>
                  <bgColor theme="0" tint="-0.24994659260841701"/>
                </patternFill>
              </fill>
            </x14:dxf>
          </x14:cfRule>
          <xm:sqref>M21:N21 P21 M23:N23 P23 M25:N25 P25 M27:N27 P27 J21 G23:H23 J23 G25:H25 J25 G27:H27 J27</xm:sqref>
        </x14:conditionalFormatting>
        <x14:conditionalFormatting xmlns:xm="http://schemas.microsoft.com/office/excel/2006/main">
          <x14:cfRule type="expression" priority="173" stopIfTrue="1" id="{F21B1F8F-8833-4A39-9530-6049A5CB32EE}">
            <xm:f>AND($H$7="Ephemeral",$R$20='Lists and Arrays'!$B$35)</xm:f>
            <x14:dxf>
              <font>
                <color theme="0" tint="-0.499984740745262"/>
              </font>
              <fill>
                <patternFill>
                  <bgColor theme="0" tint="-0.24994659260841701"/>
                </patternFill>
              </fill>
            </x14:dxf>
          </x14:cfRule>
          <xm:sqref>R21:S21 U21 R23:S23 U23 R25:S25 U25 R27:S27 U27</xm:sqref>
        </x14:conditionalFormatting>
        <x14:conditionalFormatting xmlns:xm="http://schemas.microsoft.com/office/excel/2006/main">
          <x14:cfRule type="expression" priority="163" id="{7A4463D1-42FA-429D-9097-D9AF8DE128F9}">
            <xm:f>AND($H$7="Ephemeral",$X$20='Lists and Arrays'!$B$35)</xm:f>
            <x14:dxf>
              <font>
                <color theme="0" tint="-0.499984740745262"/>
              </font>
              <fill>
                <patternFill>
                  <bgColor theme="0" tint="-0.24994659260841701"/>
                </patternFill>
              </fill>
            </x14:dxf>
          </x14:cfRule>
          <xm:sqref>X21:Y21 AA21 X23:Y23 AA23 X25:Y25 AA25 X27:Y27 AA27</xm:sqref>
        </x14:conditionalFormatting>
        <x14:conditionalFormatting xmlns:xm="http://schemas.microsoft.com/office/excel/2006/main">
          <x14:cfRule type="expression" priority="227" id="{C0EB2F11-C88C-4C5F-BD41-74028F026960}">
            <xm:f>AND($C$7="Ephemeral",$B$20='Lists and Arrays'!$B$36)</xm:f>
            <x14:dxf>
              <font>
                <color theme="0" tint="-0.499984740745262"/>
              </font>
              <fill>
                <patternFill>
                  <bgColor theme="0" tint="-0.24994659260841701"/>
                </patternFill>
              </fill>
            </x14:dxf>
          </x14:cfRule>
          <xm:sqref>B21:C23 E21:E23 B25:C25 E25</xm:sqref>
        </x14:conditionalFormatting>
        <x14:conditionalFormatting xmlns:xm="http://schemas.microsoft.com/office/excel/2006/main">
          <x14:cfRule type="expression" priority="182" id="{36603B92-7B5B-4593-ABBF-232788593FB4}">
            <xm:f>AND($H$7="Ephemeral",$M$20='Lists and Arrays'!$B$36)</xm:f>
            <x14:dxf>
              <font>
                <color theme="0" tint="-0.499984740745262"/>
              </font>
              <fill>
                <patternFill>
                  <bgColor theme="0" tint="-0.24994659260841701"/>
                </patternFill>
              </fill>
            </x14:dxf>
          </x14:cfRule>
          <xm:sqref>M21:N23 P21:P23 M25:N25 P25 G22:H23 J21:J23 G25:H25 J25</xm:sqref>
        </x14:conditionalFormatting>
        <x14:conditionalFormatting xmlns:xm="http://schemas.microsoft.com/office/excel/2006/main">
          <x14:cfRule type="expression" priority="172" id="{BACC7AE8-4058-47E0-BBEC-56DE9DF67FC7}">
            <xm:f>AND($H$7="Ephemeral",$R$20='Lists and Arrays'!$B$36)</xm:f>
            <x14:dxf>
              <font>
                <color theme="0" tint="-0.499984740745262"/>
              </font>
              <fill>
                <patternFill>
                  <bgColor theme="0" tint="-0.24994659260841701"/>
                </patternFill>
              </fill>
            </x14:dxf>
          </x14:cfRule>
          <xm:sqref>R21:S23 U21:U23 R25:S25 U25</xm:sqref>
        </x14:conditionalFormatting>
        <x14:conditionalFormatting xmlns:xm="http://schemas.microsoft.com/office/excel/2006/main">
          <x14:cfRule type="expression" priority="162" id="{BAFE6501-EE40-4641-97E0-C6D95C41E74E}">
            <xm:f>AND($H$7="Ephemeral",$X$20='Lists and Arrays'!$B$36)</xm:f>
            <x14:dxf>
              <font>
                <color theme="0" tint="-0.499984740745262"/>
              </font>
              <fill>
                <patternFill>
                  <bgColor theme="0" tint="-0.24994659260841701"/>
                </patternFill>
              </fill>
            </x14:dxf>
          </x14:cfRule>
          <xm:sqref>X21:Y23 AA21:AA23 X25:Y25 AA25</xm:sqref>
        </x14:conditionalFormatting>
        <x14:conditionalFormatting xmlns:xm="http://schemas.microsoft.com/office/excel/2006/main">
          <x14:cfRule type="expression" priority="128" id="{345C61FC-7E2D-4794-A148-4684BD8F140D}">
            <xm:f>AND($H$7="Ephemeral",$M$20='Lists and Arrays'!$B$36)</xm:f>
            <x14:dxf>
              <font>
                <color theme="0" tint="-0.499984740745262"/>
              </font>
              <fill>
                <patternFill>
                  <bgColor theme="0" tint="-0.24994659260841701"/>
                </patternFill>
              </fill>
            </x14:dxf>
          </x14:cfRule>
          <xm:sqref>G21:H21</xm:sqref>
        </x14:conditionalFormatting>
        <x14:conditionalFormatting xmlns:xm="http://schemas.microsoft.com/office/excel/2006/main">
          <x14:cfRule type="expression" priority="160" id="{88C4B4AA-60C3-40C6-B470-2B5284778A77}">
            <xm:f>AND($H$7="Ephemeral",$M$20='Lists and Arrays'!$B$35)</xm:f>
            <x14:dxf>
              <font>
                <color theme="0" tint="-0.499984740745262"/>
              </font>
              <fill>
                <patternFill>
                  <bgColor theme="0" tint="-0.24994659260841701"/>
                </patternFill>
              </fill>
            </x14:dxf>
          </x14:cfRule>
          <xm:sqref>G21:H21</xm:sqref>
        </x14:conditionalFormatting>
        <x14:conditionalFormatting xmlns:xm="http://schemas.microsoft.com/office/excel/2006/main">
          <x14:cfRule type="expression" priority="11" id="{F820E760-439A-4F1B-AAB1-C9F7AFD4AF3E}">
            <xm:f>'Lists and Arrays'!$A$18="No HGM"</xm:f>
            <x14:dxf>
              <font>
                <color theme="1" tint="0.499984740745262"/>
              </font>
              <fill>
                <patternFill>
                  <bgColor theme="0" tint="-0.24994659260841701"/>
                </patternFill>
              </fill>
            </x14:dxf>
          </x14:cfRule>
          <xm:sqref>B11 B13:E17</xm:sqref>
        </x14:conditionalFormatting>
        <x14:conditionalFormatting xmlns:xm="http://schemas.microsoft.com/office/excel/2006/main">
          <x14:cfRule type="expression" priority="10" id="{46F607B4-F3F6-4760-93BD-3BCA627B826F}">
            <xm:f>'Lists and Arrays'!$A$18="No HGM"</xm:f>
            <x14:dxf>
              <fill>
                <patternFill>
                  <bgColor theme="0" tint="-0.24994659260841701"/>
                </patternFill>
              </fill>
            </x14:dxf>
          </x14:cfRule>
          <xm:sqref>B11:E17</xm:sqref>
        </x14:conditionalFormatting>
        <x14:conditionalFormatting xmlns:xm="http://schemas.microsoft.com/office/excel/2006/main">
          <x14:cfRule type="expression" priority="9" id="{76442BA6-245C-402E-9949-878378912874}">
            <xm:f>'Lists and Arrays'!$A$20="No HGM"</xm:f>
            <x14:dxf>
              <font>
                <strike val="0"/>
                <color theme="1" tint="0.499984740745262"/>
              </font>
              <fill>
                <patternFill>
                  <bgColor theme="0" tint="-0.24994659260841701"/>
                </patternFill>
              </fill>
            </x14:dxf>
          </x14:cfRule>
          <xm:sqref>G11 G13:J17</xm:sqref>
        </x14:conditionalFormatting>
        <x14:conditionalFormatting xmlns:xm="http://schemas.microsoft.com/office/excel/2006/main">
          <x14:cfRule type="expression" priority="8" id="{B05598E6-B0E7-4EED-A093-134662E5C293}">
            <xm:f>'Lists and Arrays'!$A$20="No HGM"</xm:f>
            <x14:dxf>
              <fill>
                <patternFill>
                  <bgColor theme="0" tint="-0.24994659260841701"/>
                </patternFill>
              </fill>
            </x14:dxf>
          </x14:cfRule>
          <xm:sqref>G12:J12</xm:sqref>
        </x14:conditionalFormatting>
        <x14:conditionalFormatting xmlns:xm="http://schemas.microsoft.com/office/excel/2006/main">
          <x14:cfRule type="expression" priority="7" id="{20B3B90A-FEC5-4B33-869B-FC84E8492BA5}">
            <xm:f>'Lists and Arrays'!$A$20="No HGM"</xm:f>
            <x14:dxf>
              <font>
                <strike val="0"/>
                <color theme="1" tint="0.499984740745262"/>
              </font>
              <fill>
                <patternFill>
                  <bgColor theme="0" tint="-0.24994659260841701"/>
                </patternFill>
              </fill>
            </x14:dxf>
          </x14:cfRule>
          <xm:sqref>M11 M13:P17</xm:sqref>
        </x14:conditionalFormatting>
        <x14:conditionalFormatting xmlns:xm="http://schemas.microsoft.com/office/excel/2006/main">
          <x14:cfRule type="expression" priority="6" id="{CD0FBF7B-4198-4A20-BFCB-1726E4F879A2}">
            <xm:f>'Lists and Arrays'!$A$20="No HGM"</xm:f>
            <x14:dxf>
              <font>
                <strike val="0"/>
              </font>
              <fill>
                <patternFill>
                  <bgColor theme="0" tint="-0.24994659260841701"/>
                </patternFill>
              </fill>
            </x14:dxf>
          </x14:cfRule>
          <xm:sqref>M12:P12</xm:sqref>
        </x14:conditionalFormatting>
        <x14:conditionalFormatting xmlns:xm="http://schemas.microsoft.com/office/excel/2006/main">
          <x14:cfRule type="expression" priority="5" id="{F79B50A8-A99A-4915-A7F4-419077790648}">
            <xm:f>'Lists and Arrays'!$A$20="No HGM"</xm:f>
            <x14:dxf>
              <font>
                <color theme="1" tint="0.499984740745262"/>
              </font>
              <fill>
                <patternFill>
                  <bgColor theme="0" tint="-0.24994659260841701"/>
                </patternFill>
              </fill>
            </x14:dxf>
          </x14:cfRule>
          <xm:sqref>R11 R13:U17</xm:sqref>
        </x14:conditionalFormatting>
        <x14:conditionalFormatting xmlns:xm="http://schemas.microsoft.com/office/excel/2006/main">
          <x14:cfRule type="expression" priority="3" id="{BCB9078A-0A3A-4703-ACA3-40F513B5D98A}">
            <xm:f>'Lists and Arrays'!$A$20="No HGM"</xm:f>
            <x14:dxf>
              <fill>
                <patternFill>
                  <bgColor theme="0" tint="-0.24994659260841701"/>
                </patternFill>
              </fill>
            </x14:dxf>
          </x14:cfRule>
          <xm:sqref>R12</xm:sqref>
        </x14:conditionalFormatting>
        <x14:conditionalFormatting xmlns:xm="http://schemas.microsoft.com/office/excel/2006/main">
          <x14:cfRule type="expression" priority="2" id="{17637FD5-8A84-415F-AF9D-E386E3022DDB}">
            <xm:f>'Lists and Arrays'!$A$20="No HGM"</xm:f>
            <x14:dxf>
              <font>
                <color theme="1" tint="0.499984740745262"/>
              </font>
              <fill>
                <patternFill>
                  <bgColor theme="0" tint="-0.24994659260841701"/>
                </patternFill>
              </fill>
            </x14:dxf>
          </x14:cfRule>
          <xm:sqref>X11 X13:AA17</xm:sqref>
        </x14:conditionalFormatting>
        <x14:conditionalFormatting xmlns:xm="http://schemas.microsoft.com/office/excel/2006/main">
          <x14:cfRule type="expression" priority="1" id="{855B518C-DABD-4E91-9BF5-919EE6DF3B80}">
            <xm:f>'Lists and Arrays'!$A$20="No HGM"</xm:f>
            <x14:dxf>
              <fill>
                <patternFill>
                  <bgColor theme="0" tint="-0.24994659260841701"/>
                </patternFill>
              </fill>
            </x14:dxf>
          </x14:cfRule>
          <xm:sqref>X12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F000000}">
          <x14:formula1>
            <xm:f>'Lists and Arrays'!$C$88:$C$95</xm:f>
          </x14:formula1>
          <xm:sqref>G66 B66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1FEE5-27DD-4FFE-A155-0E8A43A6919D}">
  <dimension ref="B2:C8"/>
  <sheetViews>
    <sheetView workbookViewId="0">
      <selection activeCell="C2" sqref="C2"/>
    </sheetView>
  </sheetViews>
  <sheetFormatPr defaultRowHeight="13.2" x14ac:dyDescent="0.25"/>
  <sheetData>
    <row r="2" spans="2:3" x14ac:dyDescent="0.25">
      <c r="B2">
        <v>200</v>
      </c>
      <c r="C2">
        <f>B2*120/200</f>
        <v>120</v>
      </c>
    </row>
    <row r="3" spans="2:3" x14ac:dyDescent="0.25">
      <c r="B3">
        <v>166</v>
      </c>
    </row>
    <row r="4" spans="2:3" x14ac:dyDescent="0.25">
      <c r="B4">
        <v>165</v>
      </c>
    </row>
    <row r="5" spans="2:3" x14ac:dyDescent="0.25">
      <c r="B5">
        <v>113</v>
      </c>
    </row>
    <row r="6" spans="2:3" x14ac:dyDescent="0.25">
      <c r="B6">
        <v>112</v>
      </c>
    </row>
    <row r="7" spans="2:3" x14ac:dyDescent="0.25">
      <c r="B7">
        <v>60</v>
      </c>
    </row>
    <row r="8" spans="2:3" x14ac:dyDescent="0.25">
      <c r="B8">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V95"/>
  <sheetViews>
    <sheetView topLeftCell="J37" workbookViewId="0">
      <selection activeCell="V9" sqref="V9"/>
    </sheetView>
  </sheetViews>
  <sheetFormatPr defaultColWidth="8.88671875" defaultRowHeight="13.2" x14ac:dyDescent="0.25"/>
  <cols>
    <col min="1" max="1" width="16.6640625" style="107" customWidth="1"/>
    <col min="2" max="2" width="12.33203125" style="107" customWidth="1"/>
    <col min="3" max="3" width="32.88671875" style="107" customWidth="1"/>
    <col min="4" max="4" width="2.88671875" style="107" customWidth="1"/>
    <col min="5" max="5" width="8.88671875" style="107"/>
    <col min="6" max="6" width="14.6640625" style="107" customWidth="1"/>
    <col min="7" max="7" width="6.6640625" style="107" customWidth="1"/>
    <col min="8" max="8" width="14.6640625" style="107" customWidth="1"/>
    <col min="9" max="9" width="5.88671875" style="107" customWidth="1"/>
    <col min="10" max="10" width="14.44140625" style="107" customWidth="1"/>
    <col min="11" max="11" width="6.5546875" style="107" customWidth="1"/>
    <col min="12" max="12" width="12.5546875" style="107" customWidth="1"/>
    <col min="13" max="13" width="7.109375" style="107" customWidth="1"/>
    <col min="14" max="14" width="14.5546875" style="107" customWidth="1"/>
    <col min="15" max="15" width="7.109375" style="107" customWidth="1"/>
    <col min="16" max="18" width="8.88671875" style="107"/>
    <col min="19" max="19" width="18" style="107" customWidth="1"/>
    <col min="20" max="16384" width="8.88671875" style="107"/>
  </cols>
  <sheetData>
    <row r="1" spans="1:22" x14ac:dyDescent="0.25">
      <c r="Q1" s="108" t="s">
        <v>265</v>
      </c>
    </row>
    <row r="2" spans="1:22" x14ac:dyDescent="0.25">
      <c r="B2" s="108" t="s">
        <v>374</v>
      </c>
    </row>
    <row r="3" spans="1:22" x14ac:dyDescent="0.25">
      <c r="F3" s="1045" t="s">
        <v>203</v>
      </c>
      <c r="G3" s="1046"/>
      <c r="H3" s="1042" t="s">
        <v>255</v>
      </c>
      <c r="I3" s="1043"/>
      <c r="J3" s="1042" t="s">
        <v>256</v>
      </c>
      <c r="K3" s="1043"/>
      <c r="L3" s="1042" t="s">
        <v>257</v>
      </c>
      <c r="M3" s="1043"/>
      <c r="N3" s="1042" t="s">
        <v>258</v>
      </c>
      <c r="O3" s="1043"/>
      <c r="Q3" s="256" t="s">
        <v>266</v>
      </c>
      <c r="S3" s="256" t="s">
        <v>277</v>
      </c>
      <c r="T3" s="108" t="s">
        <v>299</v>
      </c>
      <c r="V3" s="256" t="s">
        <v>496</v>
      </c>
    </row>
    <row r="4" spans="1:22" x14ac:dyDescent="0.25">
      <c r="B4" s="413" t="s">
        <v>198</v>
      </c>
      <c r="F4" s="204"/>
      <c r="G4" s="205"/>
      <c r="H4" s="204"/>
      <c r="I4" s="205"/>
      <c r="J4" s="204"/>
      <c r="K4" s="205"/>
      <c r="L4" s="204"/>
      <c r="M4" s="205"/>
      <c r="N4" s="204"/>
      <c r="O4" s="205"/>
      <c r="V4" s="31"/>
    </row>
    <row r="5" spans="1:22" x14ac:dyDescent="0.25">
      <c r="A5" s="59" t="s">
        <v>49</v>
      </c>
      <c r="B5" s="408" t="s">
        <v>200</v>
      </c>
      <c r="F5" s="206" t="s">
        <v>260</v>
      </c>
      <c r="G5" s="207" t="s">
        <v>261</v>
      </c>
      <c r="H5" s="206" t="s">
        <v>260</v>
      </c>
      <c r="I5" s="207" t="s">
        <v>261</v>
      </c>
      <c r="J5" s="206" t="s">
        <v>260</v>
      </c>
      <c r="K5" s="207" t="s">
        <v>261</v>
      </c>
      <c r="L5" s="206" t="s">
        <v>260</v>
      </c>
      <c r="M5" s="207" t="s">
        <v>261</v>
      </c>
      <c r="N5" s="206" t="s">
        <v>260</v>
      </c>
      <c r="O5" s="207" t="s">
        <v>261</v>
      </c>
      <c r="Q5" s="257" t="s">
        <v>267</v>
      </c>
      <c r="S5" s="107" t="s">
        <v>26</v>
      </c>
      <c r="T5" s="107">
        <v>0</v>
      </c>
      <c r="V5" s="51" t="s">
        <v>84</v>
      </c>
    </row>
    <row r="6" spans="1:22" x14ac:dyDescent="0.25">
      <c r="A6" s="59"/>
      <c r="B6" s="408" t="s">
        <v>167</v>
      </c>
      <c r="D6" s="1044" t="s">
        <v>372</v>
      </c>
      <c r="E6" s="409" t="s">
        <v>177</v>
      </c>
      <c r="F6" s="406" t="str">
        <f>IF('Stream Parts I-II'!$C7=$B$13,$B$13,IF(AND('Stream Parts I-II'!$C7&lt;&gt;$B$13,'Stream Parts I-II'!$AD36=FALSE,'Stream Parts I-II'!$AD35=FALSE),"Assumed Value = 90 pts",IF('Stream Parts I-II'!$E39="","Enter a number 0 or greater.",IF(AND('Stream Parts I-II'!$E39&gt;=0,'Stream Parts I-II'!$E39&lt;800),"&lt;800 = 90 points",IF(AND('Stream Parts I-II'!$E39&gt;=800,'Stream Parts I-II'!$E39&lt;900),"800-899 = 50 points",IF(AND('Stream Parts I-II'!$E39&gt;=900,'Stream Parts I-II'!$E39&lt;1000),"900-999 = 30 points",IF(AND('Stream Parts I-II'!$E39&gt;=1000,'Stream Parts I-II'!$E39&lt;1500),"1000-1499 = 10 points",IF(AND('Stream Parts I-II'!$E39&gt;=1500,'Stream Parts I-II'!$E39&lt;1700),"1500-1699 = 5 points",IF('Stream Parts I-II'!$E39&gt;=1700, "1700 or more = 0 points")))))))))</f>
        <v>Assumed Value = 90 pts</v>
      </c>
      <c r="G6" s="407">
        <f>IF('Stream Parts I-II'!$B39="Assumed Value = 90 pts",90,IF('Stream Parts I-II'!$E39="","",IF(AND('Stream Parts I-II'!$E39&gt;=0,'Stream Parts I-II'!$E39&lt;800),90,IF(AND('Stream Parts I-II'!$E39&gt;=800,'Stream Parts I-II'!$E39&lt;900),50,IF(AND('Stream Parts I-II'!$E39&gt;=900,'Stream Parts I-II'!$E39&lt;1000),30,IF(AND('Stream Parts I-II'!$E39&gt;=1000,'Stream Parts I-II'!$E39&lt;1500),10,IF(AND('Stream Parts I-II'!$E39&gt;=1500,'Stream Parts I-II'!$E39&lt;1700),5,IF('Stream Parts I-II'!$E39&gt;=1700,0,"Check Data"))))))))</f>
        <v>90</v>
      </c>
      <c r="H6" s="406" t="str">
        <f>IF('Stream Parts I-II'!$H7=$B$13,$B$13,IF('Stream Parts I-II'!$J39="","Enter a number 0 or greater.",IF(AND('Stream Parts I-II'!$J39&gt;=0,'Stream Parts I-II'!$J39&lt;800),"&lt;800 = 90 points",IF(AND('Stream Parts I-II'!$J39&gt;=800,'Stream Parts I-II'!$J39&lt;900),"800-899 = 50 points",IF(AND('Stream Parts I-II'!$J39&gt;=900,'Stream Parts I-II'!$J39&lt;1000),"900-999 = 30 points",IF(AND('Stream Parts I-II'!$J39&gt;=1000,'Stream Parts I-II'!$J39&lt;1500),"1000-1499 = 10 points",IF(AND('Stream Parts I-II'!$J39&gt;=1500,'Stream Parts I-II'!$J39&lt;1700),"1500-1699 = 5 points",IF('Stream Parts I-II'!$J39&gt;=1700,"1700 or more = 0 points"))))))))</f>
        <v>&lt;800 = 90 points</v>
      </c>
      <c r="I6" s="407">
        <f>IF('Stream Parts I-II'!$J39="","",IF(AND('Stream Parts I-II'!$J39&gt;=0,'Stream Parts I-II'!$J39&lt;800),90,IF(AND('Stream Parts I-II'!$J39&gt;=800,'Stream Parts I-II'!$J39&lt;900),50,IF(AND('Stream Parts I-II'!$J39&gt;=900,'Stream Parts I-II'!$J39&lt;1000),30,IF(AND('Stream Parts I-II'!$J39&gt;=1000,'Stream Parts I-II'!$J39&lt;1500),10,IF(AND('Stream Parts I-II'!$J39&gt;=1500,'Stream Parts I-II'!$J39&lt;1700),5,IF('Stream Parts I-II'!$J39&gt;=1700,0,"Check Data")))))))</f>
        <v>90</v>
      </c>
      <c r="J6" s="406" t="str">
        <f>IF('Stream Parts I-II'!$H7=$B$13,$B$13,IF('Stream Parts I-II'!$P39="","Enter a number 0 or greater.",IF(AND('Stream Parts I-II'!$P39&gt;=0,'Stream Parts I-II'!$P39&lt;800),"&lt;800 = 90 points",IF(AND('Stream Parts I-II'!$P39&gt;=800,'Stream Parts I-II'!$P39&lt;900),"800-899 = 50 points",IF(AND('Stream Parts I-II'!$P39&gt;=900,'Stream Parts I-II'!$P39&lt;1000),"900-999 = 30 points",IF(AND('Stream Parts I-II'!$P39&gt;=1000,'Stream Parts I-II'!$P39&lt;1500),"1000-1499 = 10 points",IF(AND('Stream Parts I-II'!$P39&gt;=1500,'Stream Parts I-II'!$P39&lt;1700),"1500-1699 = 5 points",IF('Stream Parts I-II'!$P39&gt;=1700, "1700 or more = 0 points"))))))))</f>
        <v>&lt;800 = 90 points</v>
      </c>
      <c r="K6" s="407">
        <f>IF('Stream Parts I-II'!$P39="","",IF(AND('Stream Parts I-II'!$P39&gt;=0,'Stream Parts I-II'!$P39&lt;800),90,IF(AND('Stream Parts I-II'!$P39&gt;=800,'Stream Parts I-II'!$P39&lt;900),50,IF(AND('Stream Parts I-II'!$P39&gt;=900,'Stream Parts I-II'!$P39&lt;1000),30,IF(AND('Stream Parts I-II'!$P39&gt;=1000,'Stream Parts I-II'!$P39&lt;1500),10,IF(AND('Stream Parts I-II'!$P39&gt;=1500,'Stream Parts I-II'!$P39&lt;1700),5,IF('Stream Parts I-II'!$P39&gt;=1700,0,"Check Data")))))))</f>
        <v>90</v>
      </c>
      <c r="L6" s="406" t="str">
        <f>IF('Stream Parts I-II'!$H7=$B$13,$B$13,IF('Stream Parts I-II'!$U39="","Enter a number 0 or greater.",IF(AND('Stream Parts I-II'!$U39&gt;=0,'Stream Parts I-II'!$U39&lt;800),"&lt;800 = 90 points",IF(AND('Stream Parts I-II'!$U39&gt;=800,'Stream Parts I-II'!$U39&lt;900),"800-899 = 50 points",IF(AND('Stream Parts I-II'!$U39&gt;=900,'Stream Parts I-II'!$U39&lt;1000),"900-999 = 30 points",IF(AND('Stream Parts I-II'!$U39&gt;=1000,'Stream Parts I-II'!$U39&lt;1500),"1000-1499 = 10 points",IF(AND('Stream Parts I-II'!$U39&gt;=1500,'Stream Parts I-II'!$U39&lt;1700),"1500-1699 = 5 points",IF('Stream Parts I-II'!$U39&gt;=1700, "1700 or more = 0 points"))))))))</f>
        <v>&lt;800 = 90 points</v>
      </c>
      <c r="M6" s="407">
        <f>IF('Stream Parts I-II'!$U39="","",IF(AND('Stream Parts I-II'!$U39&gt;=0,'Stream Parts I-II'!$U39&lt;800),90,IF(AND('Stream Parts I-II'!$U39&gt;=800,'Stream Parts I-II'!$U39&lt;900),50,IF(AND('Stream Parts I-II'!$U39&gt;=900,'Stream Parts I-II'!$U39&lt;1000),30,IF(AND('Stream Parts I-II'!$U39&gt;=1000,'Stream Parts I-II'!$U39&lt;1500),10,IF(AND('Stream Parts I-II'!$U39&gt;=1500,'Stream Parts I-II'!$U39&lt;1700),5,IF('Stream Parts I-II'!$U39&gt;=1700,0,"Check Data")))))))</f>
        <v>90</v>
      </c>
      <c r="N6" s="406" t="str">
        <f>IF('Stream Parts I-II'!$H7=$B$13,$B$13,IF('Stream Parts I-II'!$AA39="","Enter a number 0 or greater.",IF(AND('Stream Parts I-II'!$AA39&gt;=0,'Stream Parts I-II'!$AA39&lt;800),"&lt;800 = 90 points",IF(AND('Stream Parts I-II'!$AA39&gt;=800,'Stream Parts I-II'!$AA39&lt;900),"800-899 = 50 points",IF(AND('Stream Parts I-II'!$AA39&gt;=900,'Stream Parts I-II'!$AA39&lt;1000),"900-999 = 30 points",IF(AND('Stream Parts I-II'!$AA39&gt;=1000,'Stream Parts I-II'!$AA39&lt;1500),"1000-1499 = 10 points",IF(AND('Stream Parts I-II'!$AA39&gt;=1500,'Stream Parts I-II'!$AA39&lt;1700),"1500-1699 = 5 points",IF('Stream Parts I-II'!$AA39&gt;=1700, "1700 or more = 0 points"))))))))</f>
        <v>&lt;800 = 90 points</v>
      </c>
      <c r="O6" s="407">
        <f>IF('Stream Parts I-II'!$AA39="","",IF(AND('Stream Parts I-II'!$AA39&gt;=0,'Stream Parts I-II'!$AA39&lt;800),90,IF(AND('Stream Parts I-II'!$AA39&gt;=800,'Stream Parts I-II'!$AA39&lt;900),50,IF(AND('Stream Parts I-II'!$AA39&gt;=900,'Stream Parts I-II'!$AA39&lt;1000),30,IF(AND('Stream Parts I-II'!$AA39&gt;=1000,'Stream Parts I-II'!$AA39&lt;1500),10,IF(AND('Stream Parts I-II'!$AA39&gt;=1500,'Stream Parts I-II'!$AA39&lt;1700),5,IF('Stream Parts I-II'!$AA39&gt;=1700,0,"Check Data")))))))</f>
        <v>90</v>
      </c>
      <c r="Q6" s="68" t="s">
        <v>143</v>
      </c>
      <c r="S6" s="107" t="s">
        <v>278</v>
      </c>
      <c r="T6" s="107">
        <v>0.12</v>
      </c>
      <c r="V6" s="612" t="s">
        <v>73</v>
      </c>
    </row>
    <row r="7" spans="1:22" ht="13.8" x14ac:dyDescent="0.3">
      <c r="A7" s="6" t="s">
        <v>124</v>
      </c>
      <c r="B7" s="408" t="s">
        <v>186</v>
      </c>
      <c r="D7" s="1044"/>
      <c r="E7" s="409" t="s">
        <v>178</v>
      </c>
      <c r="F7" s="406" t="str">
        <f>IF('Stream Parts I-II'!$C7=$B$13,$B$13,IF(AND('Stream Parts I-II'!$C7&lt;&gt;$B$13,'Stream Parts I-II'!$AD36=FALSE,'Stream Parts I-II'!$AD35=FALSE),"Assumed Value = 90 pts",IF('Stream Parts I-II'!$E39="","Enter a number 0 or greater.",IF(AND('Stream Parts I-II'!$E39&gt;=0,'Stream Parts I-II'!$E39&lt;600),"&lt;600 = 90 points",IF(AND('Stream Parts I-II'!$E39&gt;=600,'Stream Parts I-II'!$E39&lt;700),"600-699 = 70 points",IF(AND('Stream Parts I-II'!$E39&gt;=700,'Stream Parts I-II'!$E39&lt;800),"700-799 = 50 points",IF(AND('Stream Parts I-II'!$E39&gt;=800,'Stream Parts I-II'!$E39&lt;900),"800-899 = 30 points",IF(AND('Stream Parts I-II'!$E39&gt;=900,'Stream Parts I-II'!$E39&lt;1300),"900-1299 = 10 points",IF('Stream Parts I-II'!$E39&gt;=1300, "1300 or more = 0 points")))))))))</f>
        <v>Assumed Value = 90 pts</v>
      </c>
      <c r="G7" s="407">
        <f>IF('Stream Parts I-II'!$B39="Assumed Value = 90 pts",90,IF('Stream Parts I-II'!$E39="","",IF(AND('Stream Parts I-II'!$E39&gt;=0,'Stream Parts I-II'!$E39&lt;600),90,IF(AND('Stream Parts I-II'!$E39&gt;=600,'Stream Parts I-II'!$E39&lt;700),70,IF(AND('Stream Parts I-II'!$E39&gt;=700,'Stream Parts I-II'!$E39&lt;800),50,IF(AND('Stream Parts I-II'!$E39&gt;=800,'Stream Parts I-II'!$E39&lt;900),30,IF(AND('Stream Parts I-II'!$E39&gt;=900,'Stream Parts I-II'!$E39&lt;1300),10,IF('Stream Parts I-II'!$E39&gt;=1300,0,"Check Data"))))))))</f>
        <v>90</v>
      </c>
      <c r="H7" s="406" t="str">
        <f>IF('Stream Parts I-II'!$H7=$B$13,$B$13,IF('Stream Parts I-II'!$J39="","Enter a number 0 or greater.",IF(AND('Stream Parts I-II'!$J39&gt;=0,'Stream Parts I-II'!$J39&lt;600),"&lt;600 = 90 points",IF(AND('Stream Parts I-II'!$J39&gt;=600,'Stream Parts I-II'!$J39&lt;700),"600-699 = 70 points",IF(AND('Stream Parts I-II'!$J39&gt;=700,'Stream Parts I-II'!$J39&lt;800),"700-799 = 50 points",IF(AND('Stream Parts I-II'!$J39&gt;=800,'Stream Parts I-II'!$J39&lt;900),"800-899 = 30 points",IF(AND('Stream Parts I-II'!$J39&gt;=900,'Stream Parts I-II'!$J39&lt;1300),"900-1299 = 10 points",IF('Stream Parts I-II'!$J39&gt;=1300, "1300 or more = 0 points"))))))))</f>
        <v>&lt;600 = 90 points</v>
      </c>
      <c r="I7" s="407">
        <f>IF('Stream Parts I-II'!$J39="","",IF(AND('Stream Parts I-II'!$J39&gt;=0,'Stream Parts I-II'!$J39&lt;600),90,IF(AND('Stream Parts I-II'!$J39&gt;=600,'Stream Parts I-II'!$J39&lt;700),70,IF(AND('Stream Parts I-II'!$J39&gt;=700,'Stream Parts I-II'!$J39&lt;800),50,IF(AND('Stream Parts I-II'!$J39&gt;=800,'Stream Parts I-II'!$J39&lt;900),30,IF(AND('Stream Parts I-II'!$J39&gt;=900,'Stream Parts I-II'!$J39&lt;1300),10,IF('Stream Parts I-II'!$J39&gt;=1300,0,"Check Data")))))))</f>
        <v>90</v>
      </c>
      <c r="J7" s="406" t="str">
        <f>IF('Stream Parts I-II'!$H7=$B$13,$B$13,IF('Stream Parts I-II'!$P39="","Enter a number 0 or greater.",IF(AND('Stream Parts I-II'!$P39&gt;=0,'Stream Parts I-II'!$P39&lt;600),"&lt;600 = 90 points",IF(AND('Stream Parts I-II'!$P39&gt;=600,'Stream Parts I-II'!$P39&lt;700),"600-699 = 70 points",IF(AND('Stream Parts I-II'!$P39&gt;=700,'Stream Parts I-II'!$P39&lt;800),"700-799 = 50 points",IF(AND('Stream Parts I-II'!$P39&gt;=800,'Stream Parts I-II'!$P39&lt;900),"800-899 = 30 points",IF(AND('Stream Parts I-II'!$P39&gt;=900,'Stream Parts I-II'!$P39&lt;1300),"900-1299 = 10 points",IF('Stream Parts I-II'!$P39&gt;=1300, "1300 or more = 0 points"))))))))</f>
        <v>&lt;600 = 90 points</v>
      </c>
      <c r="K7" s="407">
        <f>IF('Stream Parts I-II'!$P39="","",IF(AND('Stream Parts I-II'!$P39&gt;=0,'Stream Parts I-II'!$P39&lt;600),90,IF(AND('Stream Parts I-II'!$P39&gt;=600,'Stream Parts I-II'!$P39&lt;700),70,IF(AND('Stream Parts I-II'!$P39&gt;=700,'Stream Parts I-II'!$P39&lt;800),50,IF(AND('Stream Parts I-II'!$P39&gt;=800,'Stream Parts I-II'!$P39&lt;900),30,IF(AND('Stream Parts I-II'!$P39&gt;=900,'Stream Parts I-II'!$P39&lt;1300),10,IF('Stream Parts I-II'!$P39&gt;=1300,0,"Check Data")))))))</f>
        <v>90</v>
      </c>
      <c r="L7" s="406" t="str">
        <f>IF('Stream Parts I-II'!$H7=$B$13,$B$13,IF('Stream Parts I-II'!$U39="","Enter a number 0 or greater.",IF(AND('Stream Parts I-II'!$U39&gt;=0,'Stream Parts I-II'!$U39&lt;600),"&lt;600 = 90 points",IF(AND('Stream Parts I-II'!$U39&gt;=600,'Stream Parts I-II'!$U39&lt;700),"600-699 = 70 points",IF(AND('Stream Parts I-II'!$U39&gt;=700,'Stream Parts I-II'!$U39&lt;800),"700-799 = 50 points",IF(AND('Stream Parts I-II'!$U39&gt;=800,'Stream Parts I-II'!$U39&lt;900),"800-899 = 30 points",IF(AND('Stream Parts I-II'!$U39&gt;=900,'Stream Parts I-II'!$U39&lt;1300),"900-1299 = 10 points",IF('Stream Parts I-II'!$U39&gt;=1300, "1300 or more = 0 points"))))))))</f>
        <v>&lt;600 = 90 points</v>
      </c>
      <c r="M7" s="407">
        <f>IF('Stream Parts I-II'!$U39="","",IF(AND('Stream Parts I-II'!$U39&gt;=0,'Stream Parts I-II'!$U39&lt;600),90,IF(AND('Stream Parts I-II'!$U39&gt;=600,'Stream Parts I-II'!$U39&lt;700),70,IF(AND('Stream Parts I-II'!$U39&gt;=700,'Stream Parts I-II'!$U39&lt;800),50,IF(AND('Stream Parts I-II'!$U39&gt;=800,'Stream Parts I-II'!$U39&lt;900),30,IF(AND('Stream Parts I-II'!$U39&gt;=900,'Stream Parts I-II'!$U39&lt;1300),10,IF('Stream Parts I-II'!$U39&gt;=1300,0,"Check Data")))))))</f>
        <v>90</v>
      </c>
      <c r="N7" s="406" t="str">
        <f>IF('Stream Parts I-II'!$H7=$B$13,$B$13,IF('Stream Parts I-II'!$AA39="","Enter a number 0 or greater.",IF(AND('Stream Parts I-II'!$AA39&gt;=0,'Stream Parts I-II'!$AA39&lt;600),"&lt;600 = 90 points",IF(AND('Stream Parts I-II'!$AA39&gt;=600,'Stream Parts I-II'!$AA39&lt;700),"600-699 = 70 points",IF(AND('Stream Parts I-II'!$AA39&gt;=700,'Stream Parts I-II'!$AA39&lt;800),"700-799 = 50 points",IF(AND('Stream Parts I-II'!$AA39&gt;=800,'Stream Parts I-II'!$AA39&lt;900),"800-899 = 30 points",IF(AND('Stream Parts I-II'!$AA39&gt;=900,'Stream Parts I-II'!$AA39&lt;1300),"900-1299 = 10 points",IF('Stream Parts I-II'!$AA39&gt;=1300, "1300 or more = 0 points"))))))))</f>
        <v>&lt;600 = 90 points</v>
      </c>
      <c r="O7" s="407">
        <f>IF('Stream Parts I-II'!$AA39="","",IF(AND('Stream Parts I-II'!$AA39&gt;=0,'Stream Parts I-II'!$AA39&lt;600),90,IF(AND('Stream Parts I-II'!$AA39&gt;=600,'Stream Parts I-II'!$AA39&lt;700),70,IF(AND('Stream Parts I-II'!$AA39&gt;=700,'Stream Parts I-II'!$AA39&lt;800),50,IF(AND('Stream Parts I-II'!$AA39&gt;=800,'Stream Parts I-II'!$AA39&lt;900),30,IF(AND('Stream Parts I-II'!$AA39&gt;=900,'Stream Parts I-II'!$AA39&lt;1300),10,IF('Stream Parts I-II'!$AA39&gt;=1300,0,"Check Data")))))))</f>
        <v>90</v>
      </c>
      <c r="S7" s="281" t="s">
        <v>279</v>
      </c>
      <c r="T7" s="107">
        <v>0</v>
      </c>
      <c r="V7" s="612" t="s">
        <v>502</v>
      </c>
    </row>
    <row r="8" spans="1:22" x14ac:dyDescent="0.25">
      <c r="A8" s="6" t="s">
        <v>125</v>
      </c>
      <c r="B8" s="408" t="s">
        <v>168</v>
      </c>
      <c r="D8" s="1044"/>
      <c r="E8" s="409" t="s">
        <v>179</v>
      </c>
      <c r="F8" s="406" t="str">
        <f>IF('Stream Parts I-II'!$C7=$B$13,$B$13,IF(AND('Stream Parts I-II'!$C7&lt;&gt;$B$13,'Stream Parts I-II'!$AD36=FALSE,'Stream Parts I-II'!$AD35=FALSE),"Assumed Value = 90 pts",IF('Stream Parts I-II'!$E39="","Enter a number 0 or greater.",IF(AND('Stream Parts I-II'!$E39&gt;=0,'Stream Parts I-II'!$E39&lt;600),"&lt;600 = 90 points",IF(AND('Stream Parts I-II'!$E39&gt;=600,'Stream Parts I-II'!$E39&lt;700),"600-699 = 70 points",IF(AND('Stream Parts I-II'!$E39&gt;=700,'Stream Parts I-II'!$E39&lt;800),"700-799 = 50 points",IF(AND('Stream Parts I-II'!$E39&gt;=800,'Stream Parts I-II'!$E39&lt;900),"800-899 = 30 points",IF(AND('Stream Parts I-II'!$E39&gt;=900,'Stream Parts I-II'!$E39&lt;1000),"900-999 = 10 points",IF(AND('Stream Parts I-II'!$E39&gt;=1000,'Stream Parts I-II'!$E39&lt;1250),"1000-1249 = 5 points",IF('Stream Parts I-II'!$E39&gt;=1500,"1250 or more = 0 points"))))))))))</f>
        <v>Assumed Value = 90 pts</v>
      </c>
      <c r="G8" s="407">
        <f>IF('Stream Parts I-II'!$B39="Assumed Value = 90 pts",90,IF('Stream Parts I-II'!$E39="","",IF(AND('Stream Parts I-II'!$E39&gt;=0,'Stream Parts I-II'!$E39&lt;600),90,IF(AND('Stream Parts I-II'!$E39&gt;=600,'Stream Parts I-II'!$E39&lt;700),70,IF(AND('Stream Parts I-II'!$E39&gt;=700,'Stream Parts I-II'!$E39&lt;800),50,IF(AND('Stream Parts I-II'!$E39&gt;=800,'Stream Parts I-II'!$E39&lt;900),30,IF(AND('Stream Parts I-II'!$E39&gt;=900,'Stream Parts I-II'!$E39&lt;1000),10,IF(AND('Stream Parts I-II'!$E39&gt;=1000,'Stream Parts I-II'!$E39&lt;1250),5,IF('Stream Parts I-II'!$E39&gt;=1250,0,"Check Data")))))))))</f>
        <v>90</v>
      </c>
      <c r="H8" s="406" t="str">
        <f>IF('Stream Parts I-II'!$H7=$B$13,$B$13,IF('Stream Parts I-II'!$J39="","Enter a number 0 or greater.",IF(AND('Stream Parts I-II'!$J39&gt;=0,'Stream Parts I-II'!$J39&lt;600),"&lt;600 = 90 points",IF(AND('Stream Parts I-II'!$J39&gt;=600,'Stream Parts I-II'!$J39&lt;700),"600-699 = 70 points",IF(AND('Stream Parts I-II'!$J39&gt;=700,'Stream Parts I-II'!$J39&lt;800),"700-799 = 50 points",IF(AND('Stream Parts I-II'!$J39&gt;=800,'Stream Parts I-II'!$J39&lt;900),"800-899 = 30 points",IF(AND('Stream Parts I-II'!$J39&gt;=900,'Stream Parts I-II'!$J39&lt;1000),"900-999 = 10 points",IF(AND('Stream Parts I-II'!$J39&gt;=1000,'Stream Parts I-II'!$J39&lt;1250),"1000-1249 = 5 points",IF('Stream Parts I-II'!$J39&gt;=1500,"1250 or more = 0 points")))))))))</f>
        <v>&lt;600 = 90 points</v>
      </c>
      <c r="I8" s="407">
        <f>IF('Stream Parts I-II'!$J39="","",IF(AND('Stream Parts I-II'!$J39&gt;=0,'Stream Parts I-II'!$J39&lt;600),90,IF(AND('Stream Parts I-II'!$J39&gt;=600,'Stream Parts I-II'!$J39&lt;700),70,IF(AND('Stream Parts I-II'!$J39&gt;=700,'Stream Parts I-II'!$J39&lt;800),50,IF(AND('Stream Parts I-II'!$J39&gt;=800,'Stream Parts I-II'!$J39&lt;900),30,IF(AND('Stream Parts I-II'!$J39&gt;=900,'Stream Parts I-II'!$J39&lt;1000),10,IF(AND('Stream Parts I-II'!$J39&gt;=1000,'Stream Parts I-II'!$J39&lt;1250),5,IF('Stream Parts I-II'!$J39&gt;=1250,0,"Check Data"))))))))</f>
        <v>90</v>
      </c>
      <c r="J8" s="406" t="str">
        <f>IF('Stream Parts I-II'!$H7=$B$13,$B$13,IF('Stream Parts I-II'!$P39="","Enter a number 0 or greater.",IF(AND('Stream Parts I-II'!$P39&gt;=0,'Stream Parts I-II'!$P39&lt;600),"&lt;600 = 90 points",IF(AND('Stream Parts I-II'!$P39&gt;=600,'Stream Parts I-II'!$P39&lt;700),"600-699 = 70 points",IF(AND('Stream Parts I-II'!$P39&gt;=700,'Stream Parts I-II'!$P39&lt;800),"700-799 = 50 points",IF(AND('Stream Parts I-II'!$P39&gt;=800,'Stream Parts I-II'!$P39&lt;900),"800-899 = 30 points",IF(AND('Stream Parts I-II'!$P39&gt;=900,'Stream Parts I-II'!$P39&lt;1000),"900-999 = 10 points",IF(AND('Stream Parts I-II'!$P39&gt;=1000,'Stream Parts I-II'!$P39&lt;1250),"1000-1249 = 5 points",IF('Stream Parts I-II'!$P39&gt;=1500,"1250 or more = 0 points")))))))))</f>
        <v>&lt;600 = 90 points</v>
      </c>
      <c r="K8" s="407">
        <f>IF('Stream Parts I-II'!$P39="","",IF(AND('Stream Parts I-II'!$P39&gt;=0,'Stream Parts I-II'!$P39&lt;600),90,IF(AND('Stream Parts I-II'!$P39&gt;=600,'Stream Parts I-II'!$P39&lt;700),70,IF(AND('Stream Parts I-II'!$P39&gt;=700,'Stream Parts I-II'!$P39&lt;800),50,IF(AND('Stream Parts I-II'!$P39&gt;=800,'Stream Parts I-II'!$P39&lt;900),30,IF(AND('Stream Parts I-II'!$P39&gt;=900,'Stream Parts I-II'!$P39&lt;1000),10,IF(AND('Stream Parts I-II'!$P39&gt;=1000,'Stream Parts I-II'!$P39&lt;1250),5,IF('Stream Parts I-II'!$P39&gt;=1250,0,"Check Data"))))))))</f>
        <v>90</v>
      </c>
      <c r="L8" s="406" t="str">
        <f>IF('Stream Parts I-II'!$H7=$B$13,$B$13,IF('Stream Parts I-II'!$U39="","Enter a number 0 or greater.",IF(AND('Stream Parts I-II'!$U39&gt;=0,'Stream Parts I-II'!$U39&lt;600),"&lt;600 = 90 points",IF(AND('Stream Parts I-II'!$U39&gt;=600,'Stream Parts I-II'!$U39&lt;700),"600-699 = 70 points",IF(AND('Stream Parts I-II'!$U39&gt;=700,'Stream Parts I-II'!$U39&lt;800),"700-799 = 50 points",IF(AND('Stream Parts I-II'!$U39&gt;=800,'Stream Parts I-II'!$U39&lt;900),"800-899 = 30 points",IF(AND('Stream Parts I-II'!$U39&gt;=900,'Stream Parts I-II'!$U39&lt;1000),"900-999 = 10 points",IF(AND('Stream Parts I-II'!$U39&gt;=1000,'Stream Parts I-II'!$U39&lt;1250),"1000-1249 = 5 points",IF('Stream Parts I-II'!$U39&gt;=1500,"1250 or more = 0 points")))))))))</f>
        <v>&lt;600 = 90 points</v>
      </c>
      <c r="M8" s="407">
        <f>IF('Stream Parts I-II'!$U39="","",IF(AND('Stream Parts I-II'!$U39&gt;=0,'Stream Parts I-II'!$U39&lt;600),90,IF(AND('Stream Parts I-II'!$U39&gt;=600,'Stream Parts I-II'!$U39&lt;700),70,IF(AND('Stream Parts I-II'!$U39&gt;=700,'Stream Parts I-II'!$U39&lt;800),50,IF(AND('Stream Parts I-II'!$U39&gt;=800,'Stream Parts I-II'!$U39&lt;900),30,IF(AND('Stream Parts I-II'!$U39&gt;=900,'Stream Parts I-II'!$U39&lt;1000),10,IF(AND('Stream Parts I-II'!$U39&gt;=1000,'Stream Parts I-II'!$U39&lt;1250),5,IF('Stream Parts I-II'!$U39&gt;=1250,0,"Check Data"))))))))</f>
        <v>90</v>
      </c>
      <c r="N8" s="406" t="str">
        <f>IF('Stream Parts I-II'!$H7=$B$13,$B$13,IF('Stream Parts I-II'!$AA39="","Enter a number 0 or greater.",IF(AND('Stream Parts I-II'!$AA39&gt;=0,'Stream Parts I-II'!$AA39&lt;600),"&lt;600 = 90 points",IF(AND('Stream Parts I-II'!$AA39&gt;=600,'Stream Parts I-II'!$AA39&lt;700),"600-699 = 70 points",IF(AND('Stream Parts I-II'!$AA39&gt;=700,'Stream Parts I-II'!$AA39&lt;800),"700-799 = 50 points",IF(AND('Stream Parts I-II'!$AA39&gt;=800,'Stream Parts I-II'!$AA39&lt;900),"800-899 = 30 points",IF(AND('Stream Parts I-II'!$AA39&gt;=900,'Stream Parts I-II'!$AA39&lt;1000),"900-999 = 10 points",IF(AND('Stream Parts I-II'!$AA39&gt;=1000,'Stream Parts I-II'!$AA39&lt;1250),"1000-1249 = 5 points",IF('Stream Parts I-II'!$AA39&gt;=1500,"1250 or more = 0 points")))))))))</f>
        <v>&lt;600 = 90 points</v>
      </c>
      <c r="O8" s="407">
        <f>IF('Stream Parts I-II'!$AA39="","",IF(AND('Stream Parts I-II'!$AA39&gt;=0,'Stream Parts I-II'!$AA39&lt;600),90,IF(AND('Stream Parts I-II'!$AA39&gt;=600,'Stream Parts I-II'!$U39&lt;700),70,IF(AND('Stream Parts I-II'!$AA39&gt;=700,'Stream Parts I-II'!$AA39&lt;800),50,IF(AND('Stream Parts I-II'!$AA39&gt;=800,'Stream Parts I-II'!$AA39&lt;900),30,IF(AND('Stream Parts I-II'!$AA39&gt;=900,'Stream Parts I-II'!$AA39&lt;1000),10,IF(AND('Stream Parts I-II'!$AA39&gt;=1000,'Stream Parts I-II'!$AA39&lt;1250),5,IF('Stream Parts I-II'!$AA39&gt;=1250,0,"Check Data"))))))))</f>
        <v>90</v>
      </c>
      <c r="S8" s="282" t="s">
        <v>280</v>
      </c>
      <c r="T8" s="107">
        <v>0.06</v>
      </c>
      <c r="V8" s="613" t="s">
        <v>503</v>
      </c>
    </row>
    <row r="9" spans="1:22" x14ac:dyDescent="0.25">
      <c r="A9" s="55" t="s">
        <v>142</v>
      </c>
      <c r="B9" s="408" t="s">
        <v>169</v>
      </c>
      <c r="D9" s="1044"/>
      <c r="E9" s="409" t="s">
        <v>180</v>
      </c>
      <c r="F9" s="406" t="str">
        <f>IF('Stream Parts I-II'!$C7=$B$13,$B$13,IF(AND('Stream Parts I-II'!$C7&lt;&gt;$B$13,'Stream Parts I-II'!$AD36=FALSE,'Stream Parts I-II'!$AD35=FALSE),"Assumed Value = 90 pts",IF('Stream Parts I-II'!$E39="","Enter a number 0 or greater.",IF(AND('Stream Parts I-II'!$E39&gt;=0,'Stream Parts I-II'!$E39&lt;500),"&lt;500 = 90 points",IF(AND('Stream Parts I-II'!$E39&gt;=500,'Stream Parts I-II'!$E39&lt;600),"500-599 = 80 points",IF(AND('Stream Parts I-II'!$E39&gt;=600,'Stream Parts I-II'!$E39&lt;700),"600-699 = 70 points",IF(AND('Stream Parts I-II'!$E39&gt;=700,'Stream Parts I-II'!$E39&lt;800),"700-799 = 60 points",IF(AND('Stream Parts I-II'!$E39&gt;=800,'Stream Parts I-II'!$E39&lt;900),"800-899 = 50 points",IF(AND('Stream Parts I-II'!$E39&gt;=900,'Stream Parts I-II'!$E39&lt;1000),"900-999 = 40 points",IF(AND('Stream Parts I-II'!$E39&gt;=1000,'Stream Parts I-II'!$E39&lt;1500),"1000-1499 = 10 points",IF(AND('Stream Parts I-II'!$E39&gt;=1500,'Stream Parts I-II'!$E39&lt;1800),"1500-1799 = 5 points",IF('Stream Parts I-II'!$E39&gt;=1800,"1800 or greater = 0 points","Check Data"))))))))))))</f>
        <v>Assumed Value = 90 pts</v>
      </c>
      <c r="G9" s="407">
        <f>IF('Stream Parts I-II'!$B39="Assumed Value = 90 pts",90,IF('Stream Parts I-II'!$E39="","",IF(AND('Stream Parts I-II'!$E39&gt;=0,'Stream Parts I-II'!$E39&lt;500),90,IF(AND('Stream Parts I-II'!$E39&gt;=500,'Stream Parts I-II'!$E39&lt;600),80,IF(AND('Stream Parts I-II'!$E39&gt;=600,'Stream Parts I-II'!$E39&lt;700),70,IF(AND('Stream Parts I-II'!$E39&gt;=700,'Stream Parts I-II'!$E39&lt;800),60,IF(AND('Stream Parts I-II'!$E39&gt;=800,'Stream Parts I-II'!$E39&lt;900),50,IF(AND('Stream Parts I-II'!$E39&gt;=900,'Stream Parts I-II'!$E39&lt;1000),40,IF(AND('Stream Parts I-II'!$E39&gt;=1000,'Stream Parts I-II'!$E39&lt;1500),10,IF(AND('Stream Parts I-II'!$E39&gt;=1500,'Stream Parts I-II'!$E39&lt;1800),5,IF('Stream Parts I-II'!$E39&gt;=1800,0,"Check Data")))))))))))</f>
        <v>90</v>
      </c>
      <c r="H9" s="406" t="str">
        <f>IF('Stream Parts I-II'!$H7=$B$13,$B$13,IF('Stream Parts I-II'!$J39="","Enter a number 0 or greater.",IF(AND('Stream Parts I-II'!$J39&gt;=0,'Stream Parts I-II'!$J39&lt;500),"&lt;500 = 90 points",IF(AND('Stream Parts I-II'!$J39&gt;=500,'Stream Parts I-II'!$J39&lt;600),"500-599 = 80 points",IF(AND('Stream Parts I-II'!$J39&gt;=600,'Stream Parts I-II'!$J39&lt;700),"600-699 = 70 points",IF(AND('Stream Parts I-II'!$J39&gt;=700,'Stream Parts I-II'!$J39&lt;800),"700-799 = 60 points",IF(AND('Stream Parts I-II'!$J39&gt;=800,'Stream Parts I-II'!$J39&lt;900),"800-899 = 50 points",IF(AND('Stream Parts I-II'!$J39&gt;=900,'Stream Parts I-II'!$J39&lt;1000),"900-999 = 40 points",IF(AND('Stream Parts I-II'!$J39&gt;=1000,'Stream Parts I-II'!$J39&lt;1500),"1000-1499 = 10 points",IF(AND('Stream Parts I-II'!$J39&gt;=1500,'Stream Parts I-II'!$J39&lt;1800),"1500-1799 = 5 points",IF('Stream Parts I-II'!$J39&gt;=1800,"1800 or greater = 0 points","CheckData")))))))))))</f>
        <v>&lt;500 = 90 points</v>
      </c>
      <c r="I9" s="407">
        <f>IF('Stream Parts I-II'!$J39="","",IF(AND('Stream Parts I-II'!$J39&gt;=0,'Stream Parts I-II'!$J39&lt;500),90,IF(AND('Stream Parts I-II'!$J39&gt;=500,'Stream Parts I-II'!$J39&lt;600),80,IF(AND('Stream Parts I-II'!$J39&gt;=600,'Stream Parts I-II'!$J39&lt;700),70,IF(AND('Stream Parts I-II'!$J39&gt;=700,'Stream Parts I-II'!$J39&lt;800),60,IF(AND('Stream Parts I-II'!$J39&gt;=800,'Stream Parts I-II'!$J39&lt;900),50,IF(AND('Stream Parts I-II'!$J39&gt;=900,'Stream Parts I-II'!$J39&lt;1000),40,IF(AND('Stream Parts I-II'!$J39&gt;=1000,'Stream Parts I-II'!$J39&lt;1500),10,IF(AND('Stream Parts I-II'!$J39&gt;=1500,'Stream Parts I-II'!$J39&lt;1800),5,IF('Stream Parts I-II'!$J39&gt;=1800,0,"Check Data"))))))))))</f>
        <v>90</v>
      </c>
      <c r="J9" s="406" t="str">
        <f>IF('Stream Parts I-II'!$H7=$B$13,$B$13,IF('Stream Parts I-II'!$P39="","Enter a number 0 or greater.",IF(AND('Stream Parts I-II'!$P39&gt;=0,'Stream Parts I-II'!$P39&lt;500),"&lt;500 = 90 points",IF(AND('Stream Parts I-II'!$P39&gt;=500,'Stream Parts I-II'!$P39&lt;600),"500-599 = 80 points",IF(AND('Stream Parts I-II'!$P39&gt;=600,'Stream Parts I-II'!$P39&lt;700),"600-699 = 70 points",IF(AND('Stream Parts I-II'!$P39&gt;=700,'Stream Parts I-II'!$P39&lt;800),"700-799 = 60 points",IF(AND('Stream Parts I-II'!$P39&gt;=800,'Stream Parts I-II'!$P39&lt;900),"800-899 = 50 points",IF(AND('Stream Parts I-II'!$P39&gt;=900,'Stream Parts I-II'!$P39&lt;1000),"900-999 = 40 points",IF(AND('Stream Parts I-II'!$P39&gt;=1000,'Stream Parts I-II'!$P39&lt;1500),"1000-1499 = 10 points",IF(AND('Stream Parts I-II'!$P39&gt;=1500,'Stream Parts I-II'!$P39&lt;1800),"1500-1799 = 5 points",IF('Stream Parts I-II'!$P39&gt;=1800,"1800 or greater = 0 points","CheckData")))))))))))</f>
        <v>&lt;500 = 90 points</v>
      </c>
      <c r="K9" s="407">
        <f>IF('Stream Parts I-II'!$P39="","",IF(AND('Stream Parts I-II'!$P39&gt;=0,'Stream Parts I-II'!$P39&lt;500),90,IF(AND('Stream Parts I-II'!$P39&gt;=500,'Stream Parts I-II'!$P39&lt;600),80,IF(AND('Stream Parts I-II'!$P39&gt;=600,'Stream Parts I-II'!$P39&lt;700),70,IF(AND('Stream Parts I-II'!$P39&gt;=700,'Stream Parts I-II'!$P39&lt;800),60,IF(AND('Stream Parts I-II'!$P39&gt;=800,'Stream Parts I-II'!$P39&lt;900),50,IF(AND('Stream Parts I-II'!$P39&gt;=900,'Stream Parts I-II'!$P39&lt;1000),40,IF(AND('Stream Parts I-II'!$P39&gt;=1000,'Stream Parts I-II'!$P39&lt;1500),10,IF(AND('Stream Parts I-II'!$P39&gt;=1500,'Stream Parts I-II'!$P39&lt;1800),5,IF('Stream Parts I-II'!$P39&gt;=1800,0,"Check Data"))))))))))</f>
        <v>90</v>
      </c>
      <c r="L9" s="406" t="str">
        <f>IF('Stream Parts I-II'!$H7=$B$13,$B$13,IF('Stream Parts I-II'!$U39="","Enter a number 0 or greater.",IF(AND('Stream Parts I-II'!$U39&gt;=0,'Stream Parts I-II'!$U39&lt;500),"&lt;500 = 90 points",IF(AND('Stream Parts I-II'!$U39&gt;=500,'Stream Parts I-II'!$U39&lt;600),"500-599 = 80 points",IF(AND('Stream Parts I-II'!$U39&gt;=600,'Stream Parts I-II'!$U39&lt;700),"600-699 = 70 points",IF(AND('Stream Parts I-II'!$U39&gt;=700,'Stream Parts I-II'!$U39&lt;800),"700-799 = 60 points",IF(AND('Stream Parts I-II'!$U39&gt;=800,'Stream Parts I-II'!$U39&lt;900),"800-899 = 50 points",IF(AND('Stream Parts I-II'!$U39&gt;=900,'Stream Parts I-II'!$U39&lt;1000),"900-999 = 40 points",IF(AND('Stream Parts I-II'!$U39&gt;=1000,'Stream Parts I-II'!$U39&lt;1500),"1000-1499 = 10 points",IF(AND('Stream Parts I-II'!$U39&gt;=1500,'Stream Parts I-II'!$U39&lt;1800),"1500-1799 = 5 points",IF('Stream Parts I-II'!$U39&gt;=1800,"1800 or greater = 0 points","CheckData")))))))))))</f>
        <v>&lt;500 = 90 points</v>
      </c>
      <c r="M9" s="407">
        <f>IF('Stream Parts I-II'!$U39="","",IF(AND('Stream Parts I-II'!$U39&gt;=0,'Stream Parts I-II'!$U39&lt;500),90,IF(AND('Stream Parts I-II'!$U39&gt;=500,'Stream Parts I-II'!$U39&lt;600),80,IF(AND('Stream Parts I-II'!$U39&gt;=600,'Stream Parts I-II'!$U39&lt;700),70,IF(AND('Stream Parts I-II'!$U39&gt;=700,'Stream Parts I-II'!$U39&lt;800),60,IF(AND('Stream Parts I-II'!$U39&gt;=800,'Stream Parts I-II'!$U39&lt;900),50,IF(AND('Stream Parts I-II'!$U39&gt;=900,'Stream Parts I-II'!$U39&lt;1000),40,IF(AND('Stream Parts I-II'!$U39&gt;=1000,'Stream Parts I-II'!$U39&lt;1500),10,IF(AND('Stream Parts I-II'!$U39&gt;=1500,'Stream Parts I-II'!$U39&lt;1800),5,IF('Stream Parts I-II'!$U39&gt;=1800,0,"Check Data"))))))))))</f>
        <v>90</v>
      </c>
      <c r="N9" s="406" t="str">
        <f>IF('Stream Parts I-II'!$H7=$B$13,$B$13,IF('Stream Parts I-II'!$AA39="","Enter a number 0 or greater.",IF(AND('Stream Parts I-II'!$AA39&gt;=0,'Stream Parts I-II'!$AA39&lt;500),"&lt;500 = 90 points",IF(AND('Stream Parts I-II'!$AA39&gt;=500,'Stream Parts I-II'!$AA39&lt;600),"500-599 = 80 points",IF(AND('Stream Parts I-II'!$AA39&gt;=600,'Stream Parts I-II'!$AA39&lt;700),"600-699 = 70 points",IF(AND('Stream Parts I-II'!$AA39&gt;=700,'Stream Parts I-II'!$AA39&lt;800),"700-799 = 60 points",IF(AND('Stream Parts I-II'!$AA39&gt;=800,'Stream Parts I-II'!$AA39&lt;900),"800-899 = 50 points",IF(AND('Stream Parts I-II'!$AA39&gt;=900,'Stream Parts I-II'!$AA39&lt;1000),"900-999 = 40 points",IF(AND('Stream Parts I-II'!$AA39&gt;=1000,'Stream Parts I-II'!$AA39&lt;1500),"1000-1499 = 10 points",IF(AND('Stream Parts I-II'!$AA39&gt;=1500,'Stream Parts I-II'!$AA39&lt;1800),"1500-1799 = 5 points",IF('Stream Parts I-II'!$AA39&gt;=1800,"1800 or greater = 0 points","CheckData")))))))))))</f>
        <v>&lt;500 = 90 points</v>
      </c>
      <c r="O9" s="407">
        <f>IF('Stream Parts I-II'!$AA39="","",IF(AND('Stream Parts I-II'!$AA39&gt;=0,'Stream Parts I-II'!$AA39&lt;500),90,IF(AND('Stream Parts I-II'!$AA39&gt;=500,'Stream Parts I-II'!$AA39&lt;600),80,IF(AND('Stream Parts I-II'!$AA39&gt;=600,'Stream Parts I-II'!$AA39&lt;700),70,IF(AND('Stream Parts I-II'!$AA39&gt;=700,'Stream Parts I-II'!$AA39&lt;800),60,IF(AND('Stream Parts I-II'!$AA39&gt;=800,'Stream Parts I-II'!$AA39&lt;900),50,IF(AND('Stream Parts I-II'!$AA39&gt;=900,'Stream Parts I-II'!$AA39&lt;1000),40,IF(AND('Stream Parts I-II'!$AA39&gt;=1000,'Stream Parts I-II'!$AA39&lt;1500),10,IF(AND('Stream Parts I-II'!$AA39&gt;=1500,'Stream Parts I-II'!$AA39&lt;1800),5,IF('Stream Parts I-II'!$AA39&gt;=1800,0,"Check Data"))))))))))</f>
        <v>90</v>
      </c>
      <c r="S9" s="282" t="s">
        <v>281</v>
      </c>
      <c r="T9" s="107">
        <v>0.09</v>
      </c>
    </row>
    <row r="10" spans="1:22" x14ac:dyDescent="0.25">
      <c r="A10" s="87" t="s">
        <v>126</v>
      </c>
      <c r="B10" s="408" t="s">
        <v>170</v>
      </c>
      <c r="D10" s="1044"/>
      <c r="E10" s="409" t="s">
        <v>181</v>
      </c>
      <c r="F10" s="406" t="str">
        <f>IF('Stream Parts I-II'!$C7=$B$13,$B$13,IF(AND('Stream Parts I-II'!$C7&lt;&gt;$B$13,'Stream Parts I-II'!$AD36=FALSE,'Stream Parts I-II'!$AD35=FALSE),"Assumed Value = 90 pts",IF('Stream Parts I-II'!$E39="","Enter a number 0 or greater.",IF(AND('Stream Parts I-II'!$E39&gt;=0,'Stream Parts I-II'!$E39&lt;800),"&lt;800 = 90 points",IF(AND('Stream Parts I-II'!$E39&gt;=800,'Stream Parts I-II'!$E39&lt;900),"800-899 = 50 points",IF(AND('Stream Parts I-II'!$E39&gt;=900,'Stream Parts I-II'!$E39&lt;1000),"900-999 = 30 points",IF(AND('Stream Parts I-II'!$E39&gt;=1000,'Stream Parts I-II'!$E39&lt;1100),"1000-1099 = 10 points",IF(AND('Stream Parts I-II'!$E39&gt;=1100,'Stream Parts I-II'!$E39&lt;1200),"1100-1199 = 5 points",IF('Stream Parts I-II'!$E39&gt;=1200, "1200 or more = 0 points")))))))))</f>
        <v>Assumed Value = 90 pts</v>
      </c>
      <c r="G10" s="407">
        <f>IF('Stream Parts I-II'!$B39="Assumed Value = 90 pts",90,IF('Stream Parts I-II'!$E39="","",IF(AND('Stream Parts I-II'!$E39&gt;=0,'Stream Parts I-II'!$E39&lt;800),90,IF(AND('Stream Parts I-II'!$E39&gt;=800,'Stream Parts I-II'!$E39&lt;900),50,IF(AND('Stream Parts I-II'!$E39&gt;=900,'Stream Parts I-II'!$E39&lt;1000),30,IF(AND('Stream Parts I-II'!$E39&gt;=1000,'Stream Parts I-II'!$E39&lt;1100),10,IF(AND('Stream Parts I-II'!$E39&gt;=1100,'Stream Parts I-II'!$E39&lt;1200),5,IF('Stream Parts I-II'!$E39&gt;=1200,0,"Check Data"))))))))</f>
        <v>90</v>
      </c>
      <c r="H10" s="406" t="str">
        <f>IF('Stream Parts I-II'!$H7=$B$13,$B$13,IF('Stream Parts I-II'!$J39="","Enter a number 0 or greater.",IF(AND('Stream Parts I-II'!$J39&gt;=0,'Stream Parts I-II'!$J39&lt;800),"&lt;800 = 90 points",IF(AND('Stream Parts I-II'!$J39&gt;=800,'Stream Parts I-II'!$J39&lt;900),"800-899 = 50 points",IF(AND('Stream Parts I-II'!$J39&gt;=900,'Stream Parts I-II'!$J39&lt;1000),"900-999 = 30 points",IF(AND('Stream Parts I-II'!$J39&gt;=1000,'Stream Parts I-II'!$J39&lt;1100),"1000-1099 = 10 points",IF(AND('Stream Parts I-II'!$J39&gt;=1100,'Stream Parts I-II'!$J39&lt;1200),"1100-1199 = 5 points",IF('Stream Parts I-II'!$J39&gt;=1200, "1200 or more = 0 points"))))))))</f>
        <v>&lt;800 = 90 points</v>
      </c>
      <c r="I10" s="407">
        <f>IF('Stream Parts I-II'!$J39="","",IF(AND('Stream Parts I-II'!$J39&gt;=0,'Stream Parts I-II'!$J39&lt;800),90,IF(AND('Stream Parts I-II'!$J39&gt;=800,'Stream Parts I-II'!$J39&lt;900),50,IF(AND('Stream Parts I-II'!$J39&gt;=900,'Stream Parts I-II'!$J39&lt;1000),30,IF(AND('Stream Parts I-II'!$J39&gt;=1000,'Stream Parts I-II'!$J39&lt;1100),10,IF(AND('Stream Parts I-II'!$J39&gt;=1100,'Stream Parts I-II'!$J39&lt;1200),5,IF('Stream Parts I-II'!$J39&gt;=1200,0,"Check Data")))))))</f>
        <v>90</v>
      </c>
      <c r="J10" s="406" t="str">
        <f>IF('Stream Parts I-II'!$H7=$B$13,$B$13,IF('Stream Parts I-II'!$P39="","Enter a number 0 or greater.",IF(AND('Stream Parts I-II'!$P39&gt;=0,'Stream Parts I-II'!$P39&lt;800),"&lt;800 = 90 points",IF(AND('Stream Parts I-II'!$P39&gt;=800,'Stream Parts I-II'!$P39&lt;900),"800-899 = 50 points",IF(AND('Stream Parts I-II'!$P39&gt;=900,'Stream Parts I-II'!$P39&lt;1000),"900-999 = 30 points",IF(AND('Stream Parts I-II'!$P39&gt;=1000,'Stream Parts I-II'!$P39&lt;1100),"1000-1099 = 10 points",IF(AND('Stream Parts I-II'!$P39&gt;=1100,'Stream Parts I-II'!$P39&lt;1200),"1100-1199 = 5 points",IF('Stream Parts I-II'!$P39&gt;=1200, "1200 or more = 0 points"))))))))</f>
        <v>&lt;800 = 90 points</v>
      </c>
      <c r="K10" s="407">
        <f>IF('Stream Parts I-II'!$P39="","",IF(AND('Stream Parts I-II'!$P39&gt;=0,'Stream Parts I-II'!$P39&lt;800),90,IF(AND('Stream Parts I-II'!$P39&gt;=800,'Stream Parts I-II'!$P39&lt;900),50,IF(AND('Stream Parts I-II'!$P39&gt;=900,'Stream Parts I-II'!$P39&lt;1000),30,IF(AND('Stream Parts I-II'!$P39&gt;=1000,'Stream Parts I-II'!$P39&lt;1100),10,IF(AND('Stream Parts I-II'!$P39&gt;=1100,'Stream Parts I-II'!$P39&lt;1200),5,IF('Stream Parts I-II'!$P39&gt;=1200,0,"Check Data")))))))</f>
        <v>90</v>
      </c>
      <c r="L10" s="406" t="str">
        <f>IF('Stream Parts I-II'!$H7=$B$13,$B$13,IF('Stream Parts I-II'!$U39="","Enter a number 0 or greater.",IF(AND('Stream Parts I-II'!$U39&gt;=0,'Stream Parts I-II'!$U39&lt;800),"&lt;800 = 90 points",IF(AND('Stream Parts I-II'!$U39&gt;=800,'Stream Parts I-II'!$U39&lt;900),"800-899 = 50 points",IF(AND('Stream Parts I-II'!$U39&gt;=900,'Stream Parts I-II'!$U39&lt;1000),"900-999 = 30 points",IF(AND('Stream Parts I-II'!$U39&gt;=1000,'Stream Parts I-II'!$U39&lt;1100),"1000-1099 = 10 points",IF(AND('Stream Parts I-II'!$U39&gt;=1100,'Stream Parts I-II'!$U39&lt;1200),"1100-1199 = 5 points",IF('Stream Parts I-II'!$U39&gt;=1200, "1200 or more = 0 points"))))))))</f>
        <v>&lt;800 = 90 points</v>
      </c>
      <c r="M10" s="407">
        <f>IF('Stream Parts I-II'!$U39="","",IF(AND('Stream Parts I-II'!$U39&gt;=0,'Stream Parts I-II'!$U39&lt;800),90,IF(AND('Stream Parts I-II'!$U39&gt;=800,'Stream Parts I-II'!$U39&lt;900),50,IF(AND('Stream Parts I-II'!$U39&gt;=900,'Stream Parts I-II'!$U39&lt;1000),30,IF(AND('Stream Parts I-II'!$U39&gt;=1000,'Stream Parts I-II'!$U39&lt;1100),10,IF(AND('Stream Parts I-II'!$U39&gt;=1100,'Stream Parts I-II'!$U39&lt;1200),5,IF('Stream Parts I-II'!$U39&gt;=1200,0,"Check Data")))))))</f>
        <v>90</v>
      </c>
      <c r="N10" s="406" t="str">
        <f>IF('Stream Parts I-II'!$H7=$B$13,$B$13,IF('Stream Parts I-II'!$AA39="","Enter a number 0 or greater.",IF(AND('Stream Parts I-II'!$AA39&gt;=0,'Stream Parts I-II'!$AA39&lt;800),"&lt;800 = 90 points",IF(AND('Stream Parts I-II'!$AA39&gt;=800,'Stream Parts I-II'!$AA39&lt;900),"800-899 = 50 points",IF(AND('Stream Parts I-II'!$AA39&gt;=900,'Stream Parts I-II'!$AA39&lt;1000),"900-999 = 30 points",IF(AND('Stream Parts I-II'!$AA39&gt;=1000,'Stream Parts I-II'!$AA39&lt;1100),"1000-1099 = 10 points",IF(AND('Stream Parts I-II'!$AA39&gt;=1100,'Stream Parts I-II'!$AA39&lt;1200),"1100-1199 = 5 points",IF('Stream Parts I-II'!$AA39&gt;=1200, "1200 or more = 0 points"))))))))</f>
        <v>&lt;800 = 90 points</v>
      </c>
      <c r="O10" s="407">
        <f>IF('Stream Parts I-II'!$AA39="","",IF(AND('Stream Parts I-II'!$AA39&gt;=0,'Stream Parts I-II'!$AA39&lt;800),90,IF(AND('Stream Parts I-II'!$AA39&gt;=800,'Stream Parts I-II'!$AA39&lt;900),50,IF(AND('Stream Parts I-II'!$AA39&gt;=900,'Stream Parts I-II'!$AA39&lt;1000),30,IF(AND('Stream Parts I-II'!$AA39&gt;=1000,'Stream Parts I-II'!$AA39&lt;1100),10,IF(AND('Stream Parts I-II'!$AA39&gt;=1100,'Stream Parts I-II'!$AA39&lt;1200),5,IF('Stream Parts I-II'!$AA39&gt;=1200,0,"Check Data")))))))</f>
        <v>90</v>
      </c>
      <c r="S10" s="282" t="s">
        <v>282</v>
      </c>
      <c r="T10" s="107">
        <v>0.12</v>
      </c>
    </row>
    <row r="11" spans="1:22" x14ac:dyDescent="0.25">
      <c r="E11" s="410" t="s">
        <v>371</v>
      </c>
      <c r="F11" s="208" t="str">
        <f>IF('Stream Parts I-II'!$C7=$B$13,$B$13,IF(AND('Stream Parts I-II'!$C7&lt;&gt;$B$13,'Stream Parts I-II'!$AD36=FALSE,'Stream Parts I-II'!$AD35=FALSE),"Assumed Value = 85 pts",IF('Stream Parts I-II'!$E39="","Enter a number 0 or greater.",IF(AND('Stream Parts I-II'!$E39&gt;=0,'Stream Parts I-II'!$E39&lt;=99),"&lt;100 = 90 points",IF(AND('Stream Parts I-II'!$E39&gt;=100,'Stream Parts I-II'!$E39&lt;200),"100-199 = 85 points",IF(AND('Stream Parts I-II'!$E39&gt;=200,'Stream Parts I-II'!$E39&lt;300),"200-299 = 80 points",IF(AND('Stream Parts I-II'!$E39&gt;=300,'Stream Parts I-II'!$E39&lt;400),"300-399 = 70 points",IF(AND('Stream Parts I-II'!$E39&gt;=400,'Stream Parts I-II'!$E39&lt;500),"400-499 = 60 points",IF(AND('Stream Parts I-II'!$E39&gt;=500,'Stream Parts I-II'!$E39&lt;600),"500-599 = 50 points",IF(AND('Stream Parts I-II'!$E39&gt;=600,'Stream Parts I-II'!$E39&lt;750),"600-749 = 40 points",IF(AND('Stream Parts I-II'!$E39&gt;=750,'Stream Parts I-II'!$E39&lt;1000),"750-999 = 30 points",IF(AND('Stream Parts I-II'!$E39&gt;=1000,'Stream Parts I-II'!$E39&lt;1500),"1000-1499 = 20 points",IF(AND('Stream Parts I-II'!$E39&gt;=1500,'Stream Parts I-II'!$E39&lt;2500),"1500-2499 = 10 points",IF('Stream Parts I-II'!$E39&gt;=2500, "2500 or more = 0 points"))))))))))))))</f>
        <v>Assumed Value = 85 pts</v>
      </c>
      <c r="G11" s="209">
        <f>IF('Stream Parts I-II'!$B39="Assumed Value = 85 pts",85,IF('Stream Parts I-II'!$E39="","",IF(AND('Stream Parts I-II'!$E39&gt;=0,'Stream Parts I-II'!$E39&lt;=99), 90,IF(AND('Stream Parts I-II'!$E39&gt;=100,'Stream Parts I-II'!$E39&lt;200),85,IF(AND('Stream Parts I-II'!$E39&gt;=200,'Stream Parts I-II'!$E39&lt;300),80,IF(AND('Stream Parts I-II'!$E39&gt;=300,'Stream Parts I-II'!$E39&lt;400),70,IF(AND('Stream Parts I-II'!$E39&gt;=400,'Stream Parts I-II'!$E39&lt;500), 60,IF(AND('Stream Parts I-II'!$E39&gt;=500,'Stream Parts I-II'!$E39&lt;600), 50,IF(AND('Stream Parts I-II'!$E39&gt;=600,'Stream Parts I-II'!$E39&lt;750), 40,IF(AND('Stream Parts I-II'!$E39&gt;=750,'Stream Parts I-II'!$E39&lt;1000), 30,IF(AND('Stream Parts I-II'!$E39&gt;=1000,'Stream Parts I-II'!$E39&lt;1500), 20,IF(AND('Stream Parts I-II'!$E39&gt;=1500,'Stream Parts I-II'!$E39&lt;2500),10,IF('Stream Parts I-II'!$E39&gt;=2500,  0 )))))))))))))</f>
        <v>85</v>
      </c>
      <c r="H11" s="411" t="str">
        <f>IF('Stream Parts I-II'!$H7=$B$13,$B$13,IF('Stream Parts I-II'!$J39="","Enter a number 0 or greater.",IF(AND('Stream Parts I-II'!$J39&gt;=0,'Stream Parts I-II'!$J39&lt;=99),"&lt;100 = 90 points",IF(AND('Stream Parts I-II'!$J39&gt;=100,'Stream Parts I-II'!$J39&lt;200),"100-199 = 85 points",IF(AND('Stream Parts I-II'!$J39&gt;=200,'Stream Parts I-II'!$J39&lt;300),"200-299 = 80 points",IF(AND('Stream Parts I-II'!$J39&gt;=300,'Stream Parts I-II'!$J39&lt;400),"300-399 = 70 points",IF(AND('Stream Parts I-II'!$J39&gt;=400,'Stream Parts I-II'!$J39&lt;500),"400-499 = 60 points",IF(AND('Stream Parts I-II'!$J39&gt;=500,'Stream Parts I-II'!$J39&lt;600),"500-599 = 50 points",IF(AND('Stream Parts I-II'!$J39&gt;=600,'Stream Parts I-II'!$J39&lt;750),"600-749 = 40 points",IF(AND('Stream Parts I-II'!$J39&gt;=750,'Stream Parts I-II'!$J39&lt;1000),"750-999 = 30 points",IF(AND('Stream Parts I-II'!$J39&gt;=1000,'Stream Parts I-II'!$J39&lt;1500),"1000-1499 = 20 points",IF(AND('Stream Parts I-II'!$J39&gt;=1500,'Stream Parts I-II'!$J39&lt;2500),"1500-2499 = 10 points",IF('Stream Parts I-II'!$J39&gt;=2500,"2500 or more = 0 points")))))))))))))</f>
        <v>&lt;100 = 90 points</v>
      </c>
      <c r="I11" s="412">
        <f>IF('Stream Parts I-II'!$J39="","",IF(AND('Stream Parts I-II'!$J39&gt;=0,'Stream Parts I-II'!$J39&lt;=99),90,IF(AND('Stream Parts I-II'!$J39&gt;=100,'Stream Parts I-II'!$J39&lt;200),85,IF(AND('Stream Parts I-II'!$J39&gt;=200,'Stream Parts I-II'!$J39&lt;300),80,IF(AND('Stream Parts I-II'!$J39&gt;=300,'Stream Parts I-II'!$J39&lt;400),70,IF(AND('Stream Parts I-II'!$J39&gt;=400,'Stream Parts I-II'!$J39&lt;500),60,IF(AND('Stream Parts I-II'!$J39&gt;=500,'Stream Parts I-II'!$J39&lt;600),50,IF(AND('Stream Parts I-II'!$J39&gt;=600,'Stream Parts I-II'!$J39&lt;750),40,IF(AND('Stream Parts I-II'!$J39&gt;=750,'Stream Parts I-II'!$J39&lt;1000),30,IF(AND('Stream Parts I-II'!$J39&gt;=1000,'Stream Parts I-II'!$J39&lt;1500),20,IF(AND('Stream Parts I-II'!$J39&gt;=1500,'Stream Parts I-II'!$J39&lt;2500),10,IF('Stream Parts I-II'!$J39&gt;=2500,0))))))))))))</f>
        <v>90</v>
      </c>
      <c r="J11" s="208" t="str">
        <f>IF('Stream Parts I-II'!$H7=$B$13,$B$13,IF('Stream Parts I-II'!$P39="","Enter a number 0 or greater.",IF(AND('Stream Parts I-II'!$P39&gt;=0,'Stream Parts I-II'!$P39&lt;=99),"&lt;100 = 90 points",IF(AND('Stream Parts I-II'!$P39&gt;=100,'Stream Parts I-II'!$P39&lt;200),"100-199 = 85 points",IF(AND('Stream Parts I-II'!$P39&gt;=200,'Stream Parts I-II'!$P39&lt;300),"200-299 = 80 points",IF(AND('Stream Parts I-II'!$P39&gt;=300,'Stream Parts I-II'!$P39&lt;400),"300-399 = 70 points",IF(AND('Stream Parts I-II'!$P39&gt;=400,'Stream Parts I-II'!$P39&lt;500),"400-499 = 60 points",IF(AND('Stream Parts I-II'!$P39&gt;=500,'Stream Parts I-II'!$P39&lt;600),"500-599 = 50 points",IF(AND('Stream Parts I-II'!$P39&gt;=600,'Stream Parts I-II'!$P39&lt;750),"600-749 = 40 points",IF(AND('Stream Parts I-II'!$P39&gt;=750,'Stream Parts I-II'!$P39&lt;1000),"750-999 = 30 points",IF(AND('Stream Parts I-II'!$P39&gt;=1000,'Stream Parts I-II'!$P39&lt;1500),"1000-1499 = 20 points",IF(AND('Stream Parts I-II'!$P39&gt;=1500,'Stream Parts I-II'!$P39&lt;2500),"1500-2499 = 10 points",IF('Stream Parts I-II'!$P39&gt;=2500,"2500 or more = 0 points")))))))))))))</f>
        <v>&lt;100 = 90 points</v>
      </c>
      <c r="K11" s="209">
        <f>IF('Stream Parts I-II'!$P39="","",IF(AND('Stream Parts I-II'!$P39&gt;=0,'Stream Parts I-II'!$P39&lt;=99),90,IF(AND('Stream Parts I-II'!$P39&gt;=100,'Stream Parts I-II'!$P39&lt;200),85,IF(AND('Stream Parts I-II'!$P39&gt;=200,'Stream Parts I-II'!$P39&lt;300),80,IF(AND('Stream Parts I-II'!$P39&gt;=300,'Stream Parts I-II'!$P39&lt;400),70,IF(AND('Stream Parts I-II'!$P39&gt;=400,'Stream Parts I-II'!$P39&lt;500),60,IF(AND('Stream Parts I-II'!$P39&gt;=500,'Stream Parts I-II'!$P39&lt;600),50,IF(AND('Stream Parts I-II'!$P39&gt;=600,'Stream Parts I-II'!$P39&lt;750),40,IF(AND('Stream Parts I-II'!$P39&gt;=750,'Stream Parts I-II'!$P39&lt;1000),30,IF(AND('Stream Parts I-II'!$P39&gt;=1000,'Stream Parts I-II'!$P39&lt;1500),20,IF(AND('Stream Parts I-II'!$P39&gt;=1500,'Stream Parts I-II'!$P39&lt;2500),10,IF('Stream Parts I-II'!$P39&gt;=2500,0))))))))))))</f>
        <v>90</v>
      </c>
      <c r="L11" s="208" t="str">
        <f>IF('Stream Parts I-II'!$H7=$B$13,$B$13,IF('Stream Parts I-II'!$U39="","Enter a number 0 or greater.",IF(AND('Stream Parts I-II'!$U39&gt;=0,'Stream Parts I-II'!$U39&lt;=99),"&lt;100 = 90 points",IF(AND('Stream Parts I-II'!$U39&gt;=100,'Stream Parts I-II'!$U39&lt;200),"100-199 = 85 points",IF(AND('Stream Parts I-II'!$U39&gt;=200,'Stream Parts I-II'!$U39&lt;300),"200-299 = 80 points",IF(AND('Stream Parts I-II'!$U39&gt;=300,'Stream Parts I-II'!$U39&lt;400),"300-399 = 70 points",IF(AND('Stream Parts I-II'!$U39&gt;=400,'Stream Parts I-II'!$U39&lt;500),"400-499 = 60 points",IF(AND('Stream Parts I-II'!$U39&gt;=500,'Stream Parts I-II'!$U39&lt;600),"500-599 = 50 points",IF(AND('Stream Parts I-II'!$U39&gt;=600,'Stream Parts I-II'!$U39&lt;750),"600-749 = 40 points",IF(AND('Stream Parts I-II'!$U39&gt;=750,'Stream Parts I-II'!$U39&lt;1000),"750-999 = 30 points",IF(AND('Stream Parts I-II'!$U39&gt;=1000,'Stream Parts I-II'!$U39&lt;1500),"1000-1499 = 20 points",IF(AND('Stream Parts I-II'!$U39&gt;=1500,'Stream Parts I-II'!$U39&lt;2500),"1500-2499 = 10 points",IF('Stream Parts I-II'!$U39&gt;=2500,"2500 or more = 0 points")))))))))))))</f>
        <v>&lt;100 = 90 points</v>
      </c>
      <c r="M11" s="209">
        <f>IF('Stream Parts I-II'!$U39="","",IF(AND('Stream Parts I-II'!$U39&gt;=0,'Stream Parts I-II'!$U39&lt;=99),90,IF(AND('Stream Parts I-II'!$U39&gt;=100,'Stream Parts I-II'!$U39&lt;200),85,IF(AND('Stream Parts I-II'!$U39&gt;=200,'Stream Parts I-II'!$U39&lt;300),80,IF(AND('Stream Parts I-II'!$U39&gt;=300,'Stream Parts I-II'!$U39&lt;400),70,IF(AND('Stream Parts I-II'!$U39&gt;=400,'Stream Parts I-II'!$U39&lt;500),60,IF(AND('Stream Parts I-II'!$U39&gt;=500,'Stream Parts I-II'!$U39&lt;600),50,IF(AND('Stream Parts I-II'!$U39&gt;=600,'Stream Parts I-II'!$U39&lt;750),40,IF(AND('Stream Parts I-II'!$U39&gt;=750,'Stream Parts I-II'!$U39&lt;1000),30,IF(AND('Stream Parts I-II'!$U39&gt;=1000,'Stream Parts I-II'!$U39&lt;1500),20,IF(AND('Stream Parts I-II'!$U39&gt;=1500,'Stream Parts I-II'!$U39&lt;2500),10,IF('Stream Parts I-II'!$U39&gt;=2500,0))))))))))))</f>
        <v>90</v>
      </c>
      <c r="N11" s="208" t="str">
        <f>IF('Stream Parts I-II'!$H7=$B$13,$B$13,IF('Stream Parts I-II'!$AA39="","Enter a number 0 or greater.",IF(AND('Stream Parts I-II'!$AA39&gt;=0,'Stream Parts I-II'!$AA39&lt;=99),"&lt;100 = 90 points",IF(AND('Stream Parts I-II'!$AA39&gt;=100,'Stream Parts I-II'!$AA39&lt;200),"100-199 = 85 points",IF(AND('Stream Parts I-II'!$AA39&gt;=200,'Stream Parts I-II'!$AA39&lt;300),"200-299 = 80 points",IF(AND('Stream Parts I-II'!$AA39&gt;=300,'Stream Parts I-II'!$AA39&lt;400),"300-399 = 70 points",IF(AND('Stream Parts I-II'!$AA39&gt;=400,'Stream Parts I-II'!$AA39&lt;500),"400-499 = 60 points",IF(AND('Stream Parts I-II'!$AA39&gt;=500,'Stream Parts I-II'!$AA39&lt;600),"500-599 = 50 points",IF(AND('Stream Parts I-II'!$AA39&gt;=600,'Stream Parts I-II'!$AA39&lt;750),"600-749 = 40 points",IF(AND('Stream Parts I-II'!$AA39&gt;=750,'Stream Parts I-II'!$AA39&lt;1000),"750-999 = 30 points",IF(AND('Stream Parts I-II'!$AA39&gt;=1000,'Stream Parts I-II'!$AA39&lt;1500),"1000-1499 = 20 points",IF(AND('Stream Parts I-II'!$AA39&gt;=1500,'Stream Parts I-II'!$AA39&lt;2500),"1500-2499 = 10 points",IF('Stream Parts I-II'!$AA39&gt;=2500,"2500 or more = 0 points")))))))))))))</f>
        <v>&lt;100 = 90 points</v>
      </c>
      <c r="O11" s="209">
        <f>IF('Stream Parts I-II'!$AA39="","",IF(AND('Stream Parts I-II'!$AA39&gt;=0,'Stream Parts I-II'!$AA39&lt;=99),90,IF(AND('Stream Parts I-II'!$AA39&gt;=100,'Stream Parts I-II'!$AA39&lt;200),85,IF(AND('Stream Parts I-II'!$AA39&gt;=200,'Stream Parts I-II'!$AA39&lt;300),80,IF(AND('Stream Parts I-II'!$AA39&gt;=300,'Stream Parts I-II'!$AA39&lt;400),70,IF(AND('Stream Parts I-II'!$AA39&gt;=400,'Stream Parts I-II'!$AA39&lt;500),60,IF(AND('Stream Parts I-II'!$AA39&gt;=500,'Stream Parts I-II'!$AA39&lt;600),50,IF(AND('Stream Parts I-II'!$AA39&gt;=600,'Stream Parts I-II'!$AA39&lt;750),40,IF(AND('Stream Parts I-II'!$AA39&gt;=750,'Stream Parts I-II'!$AA39&lt;1000),30,IF(AND('Stream Parts I-II'!$AA39&gt;=1000,'Stream Parts I-II'!$AA39&lt;1500),20,IF(AND('Stream Parts I-II'!$AA39&gt;=1500,'Stream Parts I-II'!$AA39&lt;2500),10,IF('Stream Parts I-II'!$AA39&gt;=2500,0))))))))))))</f>
        <v>90</v>
      </c>
      <c r="S11" s="282" t="s">
        <v>283</v>
      </c>
      <c r="T11" s="107">
        <v>0.15</v>
      </c>
    </row>
    <row r="12" spans="1:22" x14ac:dyDescent="0.25">
      <c r="B12" s="405" t="s">
        <v>226</v>
      </c>
      <c r="C12" s="550" t="s">
        <v>223</v>
      </c>
      <c r="F12" s="206" t="s">
        <v>202</v>
      </c>
      <c r="G12" s="207" t="s">
        <v>201</v>
      </c>
      <c r="H12" s="206" t="s">
        <v>202</v>
      </c>
      <c r="I12" s="207" t="s">
        <v>201</v>
      </c>
      <c r="J12" s="206" t="s">
        <v>202</v>
      </c>
      <c r="K12" s="207" t="s">
        <v>201</v>
      </c>
      <c r="L12" s="206" t="s">
        <v>202</v>
      </c>
      <c r="M12" s="207" t="s">
        <v>201</v>
      </c>
      <c r="N12" s="206" t="s">
        <v>202</v>
      </c>
      <c r="O12" s="207" t="s">
        <v>201</v>
      </c>
      <c r="S12" s="282" t="s">
        <v>284</v>
      </c>
      <c r="T12" s="107">
        <v>0.18</v>
      </c>
    </row>
    <row r="13" spans="1:22" x14ac:dyDescent="0.25">
      <c r="B13" s="105" t="s">
        <v>225</v>
      </c>
      <c r="C13" s="553" t="s">
        <v>227</v>
      </c>
      <c r="D13" s="1044" t="s">
        <v>372</v>
      </c>
      <c r="E13" s="409" t="s">
        <v>177</v>
      </c>
      <c r="F13" s="406" t="str">
        <f>IF('Stream Parts I-II'!$C7=$B$13,$B$13,IF(AND('Stream Parts I-II'!$C7&lt;&gt;$B$13,'Stream Parts I-II'!AD36=FALSE,'Stream Parts I-II'!AD35=FALSE),"Assumed Value = 80 pts",IF('Stream Parts I-II'!$E42="","Enter a number 0 or greater.",IF(AND('Stream Parts I-II'!$E42&gt;=0,'Stream Parts I-II'!$E42&lt;6.3),"&lt;6.3 = 0 points",IF(AND('Stream Parts I-II'!$E42&gt;=6.3,'Stream Parts I-II'!$E42&lt;6.7),"6.3-6.69 = 5 points",IF(AND('Stream Parts I-II'!$E42&gt;=6.7,'Stream Parts I-II'!$E42&lt;7),"6.7-6.99 = 10 points",IF(AND('Stream Parts I-II'!$E42&gt;=7,'Stream Parts I-II'!$E42&lt;7.5),"7.0-7.49 = 20 points",IF(AND('Stream Parts I-II'!$E42&gt;=7.5,'Stream Parts I-II'!$E42&lt;7.8),"7.5-7.79 = 50 points",IF(AND('Stream Parts I-II'!$E42&gt;=7.8,'Stream Parts I-II'!$E42&lt;8.35),"7.8-8.34 = 80 points",IF(AND('Stream Parts I-II'!$E42&gt;=8.35,'Stream Parts I-II'!$E42&lt;9),"8.35-8.99 = 30 points",IF('Stream Parts I-II'!$E42&gt;=9,"9.0 or greater = 0 points","Check Data")))))))))))</f>
        <v>Assumed Value = 80 pts</v>
      </c>
      <c r="G13" s="407">
        <f>IF('Stream Parts I-II'!B42="Assumed Value = 80 pts",80,IF('Stream Parts I-II'!$E42="","",IF(AND('Stream Parts I-II'!$E42&gt;=0,'Stream Parts I-II'!$E42&lt;6.3),0,IF(AND('Stream Parts I-II'!$E42&gt;=6.3,'Stream Parts I-II'!$E42&lt;6.7),5,IF(AND('Stream Parts I-II'!$E42&gt;=6.7,'Stream Parts I-II'!$E42&lt;7),10,IF(AND('Stream Parts I-II'!$E42&gt;=7,'Stream Parts I-II'!$E42&lt;7.5),20,IF(AND('Stream Parts I-II'!$E42&gt;=7.5,'Stream Parts I-II'!$E42&lt;7.8),50,IF(AND('Stream Parts I-II'!$E42&gt;=7.8,'Stream Parts I-II'!$E42&lt;8.35),80,IF(AND('Stream Parts I-II'!$E42&gt;=8.35,'Stream Parts I-II'!$E42&lt;9),30,IF('Stream Parts I-II'!$E42&gt;=9,0,"Check Data"))))))))))</f>
        <v>0</v>
      </c>
      <c r="H13" s="406" t="str">
        <f>IF('Stream Parts I-II'!$H7=$B$13,$B$13,IF('Stream Parts I-II'!$J42="","Enter a number 0 or greater.",IF(AND('Stream Parts I-II'!$J42&gt;=0,'Stream Parts I-II'!$J42&lt;6.3),"&lt;6.3 = 0 points",IF(AND('Stream Parts I-II'!$J42&gt;=6.3,'Stream Parts I-II'!$J42&lt;6.7),"6.3-6.69 = 5 points",IF(AND('Stream Parts I-II'!$J42&gt;=6.7,'Stream Parts I-II'!$J42&lt;7),"6.7-6.99 = 10 points",IF(AND('Stream Parts I-II'!$J42&gt;=7,'Stream Parts I-II'!$J42&lt;7.5),"7.0-7.49 = 20 points",IF(AND('Stream Parts I-II'!$J42&gt;=7.5,'Stream Parts I-II'!$J42&lt;7.8),"7.5-7.79 = 50 points",IF(AND('Stream Parts I-II'!$J42&gt;=7.8,'Stream Parts I-II'!$J42&lt;8.35),"7.8-8.34 = 80 points",IF(AND('Stream Parts I-II'!$J42&gt;=8.35,'Stream Parts I-II'!$J42&lt;9),"8.35-8.99 = 30 points",IF('Stream Parts I-II'!$J42&gt;=9,"9.0 or greater = 0 points","Check Data"))))))))))</f>
        <v>&lt;6.3 = 0 points</v>
      </c>
      <c r="I13" s="407">
        <f>IF('Stream Parts I-II'!$J42="","",IF(AND('Stream Parts I-II'!$J42&gt;=0,'Stream Parts I-II'!$J42&lt;6.3),0,IF(AND('Stream Parts I-II'!$J42&gt;=6.3,'Stream Parts I-II'!$J42&lt;6.7),5,IF(AND('Stream Parts I-II'!$J42&gt;=6.7,'Stream Parts I-II'!$J42&lt;7),10,IF(AND('Stream Parts I-II'!$J42&gt;=7,'Stream Parts I-II'!$J42&lt;7.5),20,IF(AND('Stream Parts I-II'!$J42&gt;=7.5,'Stream Parts I-II'!$J42&lt;7.8),50,IF(AND('Stream Parts I-II'!$J42&gt;=7.8,'Stream Parts I-II'!$J42&lt;8.35),80,IF(AND('Stream Parts I-II'!$J42&gt;=8.35,'Stream Parts I-II'!$J42&lt;9),30,IF('Stream Parts I-II'!$J42&gt;=9,0,"Check Data")))))))))</f>
        <v>0</v>
      </c>
      <c r="J13" s="406" t="str">
        <f>IF('Stream Parts I-II'!$H7=$B$13,$B$13,IF('Stream Parts I-II'!$P42="","Enter a number 0 or greater.",IF(AND('Stream Parts I-II'!$P42&gt;=0,'Stream Parts I-II'!$P42&lt;6.3),"&lt;6.3 = 0 points",IF(AND('Stream Parts I-II'!$P42&gt;=6.3,'Stream Parts I-II'!$P42&lt;6.7),"6.3-6.69 = 5 points",IF(AND('Stream Parts I-II'!$P42&gt;=6.7,'Stream Parts I-II'!$P42&lt;7),"6.7-6.99 = 10 points",IF(AND('Stream Parts I-II'!$P42&gt;=7,'Stream Parts I-II'!$P42&lt;7.5),"7.0-7.49 = 20 points",IF(AND('Stream Parts I-II'!$P42&gt;=7.5,'Stream Parts I-II'!$P42&lt;7.8),"7.5-7.79 = 50 points",IF(AND('Stream Parts I-II'!$P42&gt;=7.8,'Stream Parts I-II'!$P42&lt;8.35),"7.8-8.34 = 80 points",IF(AND('Stream Parts I-II'!$P42&gt;=8.35,'Stream Parts I-II'!$P42&lt;9),"8.35-8.99 = 30 points",IF('Stream Parts I-II'!$P42&gt;=9,"9.0 or greater = 0 points","Check Data"))))))))))</f>
        <v>&lt;6.3 = 0 points</v>
      </c>
      <c r="K13" s="407">
        <f>IF('Stream Parts I-II'!$P42="","",IF(AND('Stream Parts I-II'!$P42&gt;=0,'Stream Parts I-II'!$P42&lt;6.3),0,IF(AND('Stream Parts I-II'!$P42&gt;=6.3,'Stream Parts I-II'!$P42&lt;6.7),5,IF(AND('Stream Parts I-II'!$P42&gt;=6.7,'Stream Parts I-II'!$P42&lt;7),10,IF(AND('Stream Parts I-II'!$P42&gt;=7,'Stream Parts I-II'!$P42&lt;7.5),20,IF(AND('Stream Parts I-II'!$P42&gt;=7.5,'Stream Parts I-II'!$P42&lt;7.8),50,IF(AND('Stream Parts I-II'!$P42&gt;=7.8,'Stream Parts I-II'!$P42&lt;8.35),80,IF(AND('Stream Parts I-II'!$P42&gt;=8.35,'Stream Parts I-II'!$P42&lt;9),30,IF('Stream Parts I-II'!$P42&gt;=9,0,"Check Data")))))))))</f>
        <v>0</v>
      </c>
      <c r="L13" s="406" t="str">
        <f>IF('Stream Parts I-II'!$H7=$B$13,$B$13,IF('Stream Parts I-II'!$U42="","Enter a number 0 or greater.",IF(AND('Stream Parts I-II'!$U42&gt;=0,'Stream Parts I-II'!$U42&lt;6.3),"&lt;6.3 = 0 points",IF(AND('Stream Parts I-II'!$U42&gt;=6.3,'Stream Parts I-II'!$U42&lt;6.7),"6.3-6.69 = 5 points",IF(AND('Stream Parts I-II'!$U42&gt;=6.7,'Stream Parts I-II'!$U42&lt;7),"6.7-6.99 = 10 points",IF(AND('Stream Parts I-II'!$U42&gt;=7,'Stream Parts I-II'!$U42&lt;7.5),"7.0-7.49 = 20 points",IF(AND('Stream Parts I-II'!$U42&gt;=7.5,'Stream Parts I-II'!$U42&lt;7.8),"7.5-7.79 = 50 points",IF(AND('Stream Parts I-II'!$U42&gt;=7.8,'Stream Parts I-II'!$U42&lt;8.35),"7.8-8.34 = 80 points",IF(AND('Stream Parts I-II'!$U42&gt;=8.35,'Stream Parts I-II'!$U42&lt;9),"8.35-8.99 = 30 points",IF('Stream Parts I-II'!$U42&gt;=9,"9.0 or greater = 0 points","Check Data"))))))))))</f>
        <v>&lt;6.3 = 0 points</v>
      </c>
      <c r="M13" s="407">
        <f>IF('Stream Parts I-II'!$U42="","",IF(AND('Stream Parts I-II'!$U42&gt;=0,'Stream Parts I-II'!$U42&lt;6.3),0,IF(AND('Stream Parts I-II'!$U42&gt;=6.3,'Stream Parts I-II'!$U42&lt;6.7),5,IF(AND('Stream Parts I-II'!$U42&gt;=6.7,'Stream Parts I-II'!$U42&lt;7),10,IF(AND('Stream Parts I-II'!$U42&gt;=7,'Stream Parts I-II'!$U42&lt;7.5),20,IF(AND('Stream Parts I-II'!$U42&gt;=7.5,'Stream Parts I-II'!$U42&lt;7.8),50,IF(AND('Stream Parts I-II'!$U42&gt;=7.8,'Stream Parts I-II'!$U42&lt;8.35),80,IF(AND('Stream Parts I-II'!$U42&gt;=8.35,'Stream Parts I-II'!$U42&lt;9),30,IF('Stream Parts I-II'!$U42&gt;=9,0,"Check Data")))))))))</f>
        <v>0</v>
      </c>
      <c r="N13" s="406" t="str">
        <f>IF('Stream Parts I-II'!$H7=$B$13,$B$13,IF('Stream Parts I-II'!$AA42="","Enter a number 0 or greater.",IF(AND('Stream Parts I-II'!$AA42&gt;=0,'Stream Parts I-II'!$AA42&lt;6.3),"&lt;6.3 = 0 points",IF(AND('Stream Parts I-II'!$AA42&gt;=6.3,'Stream Parts I-II'!$AA42&lt;6.7),"6.3-6.69 = 5 points",IF(AND('Stream Parts I-II'!$AA42&gt;=6.7,'Stream Parts I-II'!$AA42&lt;7),"6.7-6.99 = 10 points",IF(AND('Stream Parts I-II'!$AA42&gt;=7,'Stream Parts I-II'!$AA42&lt;7.5),"7.0-7.49 = 20 points",IF(AND('Stream Parts I-II'!$AA42&gt;=7.5,'Stream Parts I-II'!$AA42&lt;7.8),"7.5-7.79 = 50 points",IF(AND('Stream Parts I-II'!$AA42&gt;=7.8,'Stream Parts I-II'!$AA42&lt;8.35),"7.8-8.34 = 80 points",IF(AND('Stream Parts I-II'!$AA42&gt;=8.35,'Stream Parts I-II'!$AA42&lt;9),"8.35-8.99 = 30 points",IF('Stream Parts I-II'!$AA42&gt;=9,"9.0 or greater = 0 points","Check Data"))))))))))</f>
        <v>&lt;6.3 = 0 points</v>
      </c>
      <c r="O13" s="407">
        <f>IF('Stream Parts I-II'!$AA42="","",IF(AND('Stream Parts I-II'!$AA42&gt;=0,'Stream Parts I-II'!$AA42&lt;6.3),0,IF(AND('Stream Parts I-II'!$AA42&gt;=6.3,'Stream Parts I-II'!$AA42&lt;6.7),5,IF(AND('Stream Parts I-II'!$AA42&gt;=6.7,'Stream Parts I-II'!$AA42&lt;7),10,IF(AND('Stream Parts I-II'!$AA42&gt;=7,'Stream Parts I-II'!$AA42&lt;7.5),20,IF(AND('Stream Parts I-II'!$AA42&gt;=7.5,'Stream Parts I-II'!$AA42&lt;7.8),50,IF(AND('Stream Parts I-II'!$AA42&gt;=7.8,'Stream Parts I-II'!$AA42&lt;8.35),80,IF(AND('Stream Parts I-II'!$AA42&gt;=8.35,'Stream Parts I-II'!$AA42&lt;9),30,IF('Stream Parts I-II'!$AA42&gt;=9,0,"Check Data")))))))))</f>
        <v>0</v>
      </c>
      <c r="S13" s="282" t="s">
        <v>285</v>
      </c>
      <c r="T13" s="107">
        <v>0.21</v>
      </c>
    </row>
    <row r="14" spans="1:22" ht="13.8" x14ac:dyDescent="0.3">
      <c r="B14" s="58" t="s">
        <v>58</v>
      </c>
      <c r="C14" s="553" t="s">
        <v>229</v>
      </c>
      <c r="D14" s="1044"/>
      <c r="E14" s="409" t="s">
        <v>178</v>
      </c>
      <c r="F14" s="406" t="str">
        <f>IF('Stream Parts I-II'!$C7=$B$13,$B$13,IF(AND('Stream Parts I-II'!$C7&lt;&gt;$B$13,'Stream Parts I-II'!AD36=FALSE,'Stream Parts I-II'!AD35=FALSE),"Assumed Value = 80 pts",IF('Stream Parts I-II'!$E42="","Enter a number 0 or greater.",IF(AND('Stream Parts I-II'!$E42&gt;=0,'Stream Parts I-II'!$E42&lt;6.3),"&lt;6.3 = 0 points",IF(AND('Stream Parts I-II'!$E42&gt;=6.3,'Stream Parts I-II'!$E42&lt;6.7),"6.3-6.69 = 5 points",IF(AND('Stream Parts I-II'!$E42&gt;=6.7,'Stream Parts I-II'!E$42&lt;7),"6.7-6.99 = 10 points",IF(AND('Stream Parts I-II'!$E42&gt;=7,'Stream Parts I-II'!$E42&lt;7.5),"7.0-7.49 = 20 points",IF(AND('Stream Parts I-II'!$E42&gt;=7.5,'Stream Parts I-II'!$E42&lt;7.8),"7.5-7.79 = 50 points",IF(AND('Stream Parts I-II'!$E42&gt;=7.8,'Stream Parts I-II'!$E42&lt;8.35),"7.8-8.34 = 80 points",IF(AND('Stream Parts I-II'!$E42&gt;=8.35,'Stream Parts I-II'!$E42&lt;9),"8.35-8.99 = 30 points",IF('Stream Parts I-II'!$E42&gt;=9,"9.0 or greater = 0 points","Check Data")))))))))))</f>
        <v>Assumed Value = 80 pts</v>
      </c>
      <c r="G14" s="407">
        <f>IF('Stream Parts I-II'!B42="Assumed Value = 80 pts",80,IF('Stream Parts I-II'!$E42="","",IF(AND('Stream Parts I-II'!$E42&gt;=0,'Stream Parts I-II'!$E42&lt;6.3),0,IF(AND('Stream Parts I-II'!$E42&gt;=6.3,'Stream Parts I-II'!$E42&lt;6.7),5,IF(AND('Stream Parts I-II'!$E42&gt;=6.7,'Stream Parts I-II'!$E42&lt;7),10,IF(AND('Stream Parts I-II'!$E42&gt;=7,'Stream Parts I-II'!$E42&lt;7.5),20,IF(AND('Stream Parts I-II'!$E42&gt;=7.5,'Stream Parts I-II'!$E42&lt;7.8),50,IF(AND('Stream Parts I-II'!$E42&gt;=7.8,'Stream Parts I-II'!$E42&lt;8.35),80,IF(AND('Stream Parts I-II'!$E42&gt;=8.35,'Stream Parts I-II'!$E42&lt;9),30,IF('Stream Parts I-II'!$E42&gt;=9,0,"Check Data"))))))))))</f>
        <v>0</v>
      </c>
      <c r="H14" s="406" t="str">
        <f>IF('Stream Parts I-II'!$H7=$B$13,$B$13,IF('Stream Parts I-II'!$J42="","Enter a number 0 or greater.",IF(AND('Stream Parts I-II'!$J42&gt;=0,'Stream Parts I-II'!$J42&lt;6.3),"&lt;6.3 = 0 points",IF(AND('Stream Parts I-II'!$J42&gt;=6.3,'Stream Parts I-II'!$J42&lt;6.7),"6.3-6.69 = 5 points",IF(AND('Stream Parts I-II'!$J42&gt;=6.7,'Stream Parts I-II'!$J42&lt;7),"6.7-6.99 = 10 points",IF(AND('Stream Parts I-II'!$J42&gt;=7,'Stream Parts I-II'!$J42&lt;7.5),"7.0-7.49 = 20 points",IF(AND('Stream Parts I-II'!$J42&gt;=7.5,'Stream Parts I-II'!$J42&lt;7.8),"7.5-7.79 = 50 points",IF(AND('Stream Parts I-II'!$J42&gt;=7.8,'Stream Parts I-II'!$J42&lt;8.35),"7.8-8.34 = 80 points",IF(AND('Stream Parts I-II'!$J42&gt;=8.35,'Stream Parts I-II'!$J42&lt;9),"8.35-8.99 = 30 points",IF('Stream Parts I-II'!$J42&gt;=9,"9.0 or greater = 0 points","Check Data"))))))))))</f>
        <v>&lt;6.3 = 0 points</v>
      </c>
      <c r="I14" s="407">
        <f>IF('Stream Parts I-II'!$J42="","",IF(AND('Stream Parts I-II'!$J42&gt;=0,'Stream Parts I-II'!$J42&lt;6.3),0,IF(AND('Stream Parts I-II'!$J42&gt;=6.3,'Stream Parts I-II'!$J42&lt;6.7),5,IF(AND('Stream Parts I-II'!$J42&gt;=6.7,'Stream Parts I-II'!$J42&lt;7),10,IF(AND('Stream Parts I-II'!$J42&gt;=7,'Stream Parts I-II'!$J42&lt;7.5),20,IF(AND('Stream Parts I-II'!$J42&gt;=7.5,'Stream Parts I-II'!$J42&lt;7.8),50,IF(AND('Stream Parts I-II'!$J42&gt;=7.8,'Stream Parts I-II'!$J42&lt;8.35),80,IF(AND('Stream Parts I-II'!$J42&gt;=8.35,'Stream Parts I-II'!$J42&lt;9),30,IF('Stream Parts I-II'!$J42&gt;=9,0,"Check Data")))))))))</f>
        <v>0</v>
      </c>
      <c r="J14" s="406" t="str">
        <f>IF('Stream Parts I-II'!$H7=$B$13,$B$13,IF('Stream Parts I-II'!$P42="","Enter a number 0 or greater.",IF(AND('Stream Parts I-II'!$P42&gt;=0,'Stream Parts I-II'!$P42&lt;6.3),"&lt;6.3 = 0 points",IF(AND('Stream Parts I-II'!$P42&gt;=6.3,'Stream Parts I-II'!$P42&lt;6.7),"6.3-6.69 = 5 points",IF(AND('Stream Parts I-II'!$P42&gt;=6.7,'Stream Parts I-II'!$P42&lt;7),"6.7-6.99 = 10 points",IF(AND('Stream Parts I-II'!$P42&gt;=7,'Stream Parts I-II'!$P42&lt;7.5),"7.0-7.49 = 20 points",IF(AND('Stream Parts I-II'!$P42&gt;=7.5,'Stream Parts I-II'!$P42&lt;7.8),"7.5-7.79 = 50 points",IF(AND('Stream Parts I-II'!$P42&gt;=7.8,'Stream Parts I-II'!$P42&lt;8.35),"7.8-8.34 = 80 points",IF(AND('Stream Parts I-II'!$P42&gt;=8.35,'Stream Parts I-II'!$P42&lt;9),"8.35-8.99 = 30 points",IF('Stream Parts I-II'!$P42&gt;=9,"9.0 or greater = 0 points","Check Data"))))))))))</f>
        <v>&lt;6.3 = 0 points</v>
      </c>
      <c r="K14" s="407">
        <f>IF('Stream Parts I-II'!$P42="","",IF(AND('Stream Parts I-II'!$P42&gt;=0,'Stream Parts I-II'!$P42&lt;6.3),0,IF(AND('Stream Parts I-II'!$P42&gt;=6.3,'Stream Parts I-II'!$P42&lt;6.7),5,IF(AND('Stream Parts I-II'!$P42&gt;=6.7,'Stream Parts I-II'!$P42&lt;7),10,IF(AND('Stream Parts I-II'!$P42&gt;=7,'Stream Parts I-II'!$P42&lt;7.5),20,IF(AND('Stream Parts I-II'!$P42&gt;=7.5,'Stream Parts I-II'!$P42&lt;7.8),50,IF(AND('Stream Parts I-II'!$P42&gt;=7.8,'Stream Parts I-II'!$P42&lt;8.35),80,IF(AND('Stream Parts I-II'!$P42&gt;=8.35,'Stream Parts I-II'!$P42&lt;9),30,IF('Stream Parts I-II'!$P42&gt;=9,0,"Check Data")))))))))</f>
        <v>0</v>
      </c>
      <c r="L14" s="406" t="str">
        <f>IF('Stream Parts I-II'!$H7=$B$13,$B$13,IF('Stream Parts I-II'!$U42="","Enter a number 0 or greater.",IF(AND('Stream Parts I-II'!$U42&gt;=0,'Stream Parts I-II'!$U42&lt;6.3),"&lt;6.3 = 0 points",IF(AND('Stream Parts I-II'!$U42&gt;=6.3,'Stream Parts I-II'!$U42&lt;6.7),"6.3-6.69 = 5 points",IF(AND('Stream Parts I-II'!$U42&gt;=6.7,'Stream Parts I-II'!$U42&lt;7),"6.7-6.99 = 10 points",IF(AND('Stream Parts I-II'!$U42&gt;=7,'Stream Parts I-II'!$U42&lt;7.5),"7.0-7.49 = 20 points",IF(AND('Stream Parts I-II'!$U42&gt;=7.5,'Stream Parts I-II'!$U42&lt;7.8),"7.5-7.79 = 50 points",IF(AND('Stream Parts I-II'!$U42&gt;=7.8,'Stream Parts I-II'!$U42&lt;8.35),"7.8-8.34 = 80 points",IF(AND('Stream Parts I-II'!$U42&gt;=8.35,'Stream Parts I-II'!$U42&lt;9),"8.35-8.99 = 30 points",IF('Stream Parts I-II'!$U42&gt;=9,"9.0 or greater = 0 points","Check Data"))))))))))</f>
        <v>&lt;6.3 = 0 points</v>
      </c>
      <c r="M14" s="407">
        <f>IF('Stream Parts I-II'!$U42="","",IF(AND('Stream Parts I-II'!$U42&gt;=0,'Stream Parts I-II'!$U42&lt;6.3),0,IF(AND('Stream Parts I-II'!$U42&gt;=6.3,'Stream Parts I-II'!$U42&lt;6.7),5,IF(AND('Stream Parts I-II'!$U42&gt;=6.7,'Stream Parts I-II'!$U42&lt;7),10,IF(AND('Stream Parts I-II'!$U42&gt;=7,'Stream Parts I-II'!$U42&lt;7.5),20,IF(AND('Stream Parts I-II'!$U42&gt;=7.5,'Stream Parts I-II'!$U42&lt;7.8),50,IF(AND('Stream Parts I-II'!$U42&gt;=7.8,'Stream Parts I-II'!$U42&lt;8.35),80,IF(AND('Stream Parts I-II'!$U42&gt;=8.35,'Stream Parts I-II'!$U42&lt;9),30,IF('Stream Parts I-II'!$U42&gt;=9,0,"Check Data")))))))))</f>
        <v>0</v>
      </c>
      <c r="N14" s="406" t="str">
        <f>IF('Stream Parts I-II'!$H7=$B$13,$B$13,IF('Stream Parts I-II'!$AA42="","Enter a number 0 or greater.",IF(AND('Stream Parts I-II'!$AA42&gt;=0,'Stream Parts I-II'!$AA42&lt;6.3),"&lt;6.3 = 0 points",IF(AND('Stream Parts I-II'!$AA42&gt;=6.3,'Stream Parts I-II'!$AA42&lt;6.7),"6.3-6.69 = 5 points",IF(AND('Stream Parts I-II'!$AA42&gt;=6.7,'Stream Parts I-II'!$AA42&lt;7),"6.7-6.99 = 10 points",IF(AND('Stream Parts I-II'!$AA42&gt;=7,'Stream Parts I-II'!$AA42&lt;7.5),"7.0-7.49 = 20 points",IF(AND('Stream Parts I-II'!$AA42&gt;=7.5,'Stream Parts I-II'!$AA42&lt;7.8),"7.5-7.79 = 50 points",IF(AND('Stream Parts I-II'!$AA42&gt;=7.8,'Stream Parts I-II'!$AA42&lt;8.35),"7.8-8.34 = 80 points",IF(AND('Stream Parts I-II'!$AA42&gt;=8.35,'Stream Parts I-II'!$AA42&lt;9),"8.35-8.99 = 30 points",IF('Stream Parts I-II'!$AA42&gt;=9,"9.0 or greater = 0 points","Check Data"))))))))))</f>
        <v>&lt;6.3 = 0 points</v>
      </c>
      <c r="O14" s="407">
        <f>IF('Stream Parts I-II'!$AA42="","",IF(AND('Stream Parts I-II'!$AA42&gt;=0,'Stream Parts I-II'!$AA42&lt;6.3),0,IF(AND('Stream Parts I-II'!$AA42&gt;=6.3,'Stream Parts I-II'!$AA42&lt;6.7),5,IF(AND('Stream Parts I-II'!$AA42&gt;=6.7,'Stream Parts I-II'!$AA42&lt;7),10,IF(AND('Stream Parts I-II'!$AA42&gt;=7,'Stream Parts I-II'!$AA42&lt;7.5),20,IF(AND('Stream Parts I-II'!$AA42&gt;=7.5,'Stream Parts I-II'!$AA42&lt;7.8),50,IF(AND('Stream Parts I-II'!$AA42&gt;=7.8,'Stream Parts I-II'!$AA42&lt;8.35),80,IF(AND('Stream Parts I-II'!$AA42&gt;=8.35,'Stream Parts I-II'!$AA42&lt;9),30,IF('Stream Parts I-II'!$AA42&gt;=9,0,"Check Data")))))))))</f>
        <v>0</v>
      </c>
      <c r="S14" s="282" t="s">
        <v>286</v>
      </c>
      <c r="T14" s="107">
        <v>0.24</v>
      </c>
    </row>
    <row r="15" spans="1:22" x14ac:dyDescent="0.25">
      <c r="B15" s="58" t="s">
        <v>59</v>
      </c>
      <c r="C15" s="553" t="s">
        <v>230</v>
      </c>
      <c r="D15" s="1044"/>
      <c r="E15" s="409" t="s">
        <v>179</v>
      </c>
      <c r="F15" s="406" t="str">
        <f>IF('Stream Parts I-II'!$C7=$B$13,$B$13,IF(AND('Stream Parts I-II'!$C7&lt;&gt;$B$13,'Stream Parts I-II'!AD36=FALSE,'Stream Parts I-II'!AD35=FALSE),"Assumed Value = 80 pts",IF('Stream Parts I-II'!$E42="","Enter a number 0 or greater.",IF(AND('Stream Parts I-II'!$E42&gt;=0,'Stream Parts I-II'!$E42&lt;6.3),"&lt;6.3 = 0 points",IF(AND('Stream Parts I-II'!$E42&gt;=6.3,'Stream Parts I-II'!$E42&lt;6.7),"6.3-6.69 = 5 points",IF(AND('Stream Parts I-II'!$E42&gt;=6.7,'Stream Parts I-II'!$E42&lt;7),"6.7-6.99 = 10 points",IF(AND('Stream Parts I-II'!$E42&gt;=7,'Stream Parts I-II'!$E42&lt;7.5),"7.0-7.49 = 20 points",IF(AND('Stream Parts I-II'!$E42&gt;=7.5,'Stream Parts I-II'!$E42&lt;7.8),"7.5-7.79 = 50 points",IF(AND('Stream Parts I-II'!$E42&gt;=7.8,'Stream Parts I-II'!$E42&lt;8.35),"7.8-8.34 = 80 points",IF(AND('Stream Parts I-II'!$E42&gt;=8.35,'Stream Parts I-II'!$E42&lt;9),"8.35-8.99 = 30 points",IF('Stream Parts I-II'!$E42&gt;=9,"9.0 or greater = 0 points","Check Data")))))))))))</f>
        <v>Assumed Value = 80 pts</v>
      </c>
      <c r="G15" s="407">
        <f>IF('Stream Parts I-II'!B42="Assumed Value = 80 pts",80,IF('Stream Parts I-II'!$E42="","",IF(AND('Stream Parts I-II'!$E42&gt;=0,'Stream Parts I-II'!$E42&lt;6.3),0,IF(AND('Stream Parts I-II'!$E42&gt;=6.3,'Stream Parts I-II'!$E42&lt;6.7),5,IF(AND('Stream Parts I-II'!$E42&gt;=6.7,'Stream Parts I-II'!$E42&lt;7),10,IF(AND('Stream Parts I-II'!$E42&gt;=7,'Stream Parts I-II'!$E42&lt;7.5),20,IF(AND('Stream Parts I-II'!$E42&gt;=7.5,'Stream Parts I-II'!$E42&lt;7.8),50,IF(AND('Stream Parts I-II'!$E42&gt;=7.8,'Stream Parts I-II'!$E42&lt;8.35),80,IF(AND('Stream Parts I-II'!$E42&gt;=8.35,'Stream Parts I-II'!$E42&lt;9),30,IF('Stream Parts I-II'!$E42&gt;=9,0,"Check Data"))))))))))</f>
        <v>0</v>
      </c>
      <c r="H15" s="406" t="str">
        <f>IF('Stream Parts I-II'!$H7=$B$13,$B$13,IF('Stream Parts I-II'!$J42="","Enter a number 0 or greater.",IF(AND('Stream Parts I-II'!$J42&gt;=0,'Stream Parts I-II'!$J42&lt;6.3),"&lt;6.3 = 0 points",IF(AND('Stream Parts I-II'!$J42&gt;=6.3,'Stream Parts I-II'!$J42&lt;6.7),"6.3-6.69 = 5 points",IF(AND('Stream Parts I-II'!$J42&gt;=6.7,'Stream Parts I-II'!$J42&lt;7),"6.7-6.99 = 10 points",IF(AND('Stream Parts I-II'!$J42&gt;=7,'Stream Parts I-II'!$J42&lt;7.5),"7.0-7.49 = 20 points",IF(AND('Stream Parts I-II'!$J42&gt;=7.5,'Stream Parts I-II'!$J42&lt;7.8),"7.5-7.79 = 50 points",IF(AND('Stream Parts I-II'!$J42&gt;=7.8,'Stream Parts I-II'!$J42&lt;8.35),"7.8-8.34 = 80 points",IF(AND('Stream Parts I-II'!$J42&gt;=8.35,'Stream Parts I-II'!$J42&lt;9),"8.35-8.99 = 30 points",IF('Stream Parts I-II'!$J42&gt;=9,"9.0 or greater = 0 points","Check Data"))))))))))</f>
        <v>&lt;6.3 = 0 points</v>
      </c>
      <c r="I15" s="407">
        <f>IF('Stream Parts I-II'!$J42="","",IF(AND('Stream Parts I-II'!$J42&gt;=0,'Stream Parts I-II'!$J42&lt;6.3),0,IF(AND('Stream Parts I-II'!$J42&gt;=6.3,'Stream Parts I-II'!$J42&lt;6.7),5,IF(AND('Stream Parts I-II'!$J42&gt;=6.7,'Stream Parts I-II'!$J42&lt;7),10,IF(AND('Stream Parts I-II'!$J42&gt;=7,'Stream Parts I-II'!$J42&lt;7.5),20,IF(AND('Stream Parts I-II'!$J42&gt;=7.5,'Stream Parts I-II'!$J42&lt;7.8),50,IF(AND('Stream Parts I-II'!$J42&gt;=7.8,'Stream Parts I-II'!$J42&lt;8.35),80,IF(AND('Stream Parts I-II'!$J42&gt;=8.35,'Stream Parts I-II'!$J42&lt;9),30,IF('Stream Parts I-II'!$J42&gt;=9,0,"Check Data")))))))))</f>
        <v>0</v>
      </c>
      <c r="J15" s="406" t="str">
        <f>IF('Stream Parts I-II'!$H7=$B$13,$B$13,IF('Stream Parts I-II'!$P42="","Enter a number 0 or greater.",IF(AND('Stream Parts I-II'!$P42&gt;=0,'Stream Parts I-II'!$P42&lt;6.3),"&lt;6.3 = 0 points",IF(AND('Stream Parts I-II'!$P42&gt;=6.3,'Stream Parts I-II'!$P42&lt;6.7),"6.3-6.69 = 5 points",IF(AND('Stream Parts I-II'!$P42&gt;=6.7,'Stream Parts I-II'!$P42&lt;7),"6.7-6.99 = 10 points",IF(AND('Stream Parts I-II'!$P42&gt;=7,'Stream Parts I-II'!$P42&lt;7.5),"7.0-7.49 = 20 points",IF(AND('Stream Parts I-II'!$P42&gt;=7.5,'Stream Parts I-II'!$P42&lt;7.8),"7.5-7.79 = 50 points",IF(AND('Stream Parts I-II'!$P42&gt;=7.8,'Stream Parts I-II'!$P42&lt;8.35),"7.8-8.34 = 80 points",IF(AND('Stream Parts I-II'!$P42&gt;=8.35,'Stream Parts I-II'!$P42&lt;9),"8.35-8.99 = 30 points",IF('Stream Parts I-II'!$P42&gt;=9,"9.0 or greater = 0 points","Check Data"))))))))))</f>
        <v>&lt;6.3 = 0 points</v>
      </c>
      <c r="K15" s="407">
        <f>IF('Stream Parts I-II'!$P42="","",IF(AND('Stream Parts I-II'!$P42&gt;=0,'Stream Parts I-II'!$P42&lt;6.3),0,IF(AND('Stream Parts I-II'!$P42&gt;=6.3,'Stream Parts I-II'!$P42&lt;6.7),5,IF(AND('Stream Parts I-II'!$P42&gt;=6.7,'Stream Parts I-II'!$P42&lt;7),10,IF(AND('Stream Parts I-II'!$P42&gt;=7,'Stream Parts I-II'!$P42&lt;7.5),20,IF(AND('Stream Parts I-II'!$P42&gt;=7.5,'Stream Parts I-II'!$P42&lt;7.8),50,IF(AND('Stream Parts I-II'!$P42&gt;=7.8,'Stream Parts I-II'!$P42&lt;8.35),80,IF(AND('Stream Parts I-II'!$P42&gt;=8.35,'Stream Parts I-II'!$P42&lt;9),30,IF('Stream Parts I-II'!$P42&gt;=9,0,"Check Data")))))))))</f>
        <v>0</v>
      </c>
      <c r="L15" s="406" t="str">
        <f>IF('Stream Parts I-II'!$H7=$B$13,$B$13,IF('Stream Parts I-II'!$U42="","Enter a number 0 or greater.",IF(AND('Stream Parts I-II'!$U42&gt;=0,'Stream Parts I-II'!$U42&lt;6.3),"&lt;6.3 = 0 points",IF(AND('Stream Parts I-II'!$U42&gt;=6.3,'Stream Parts I-II'!$U42&lt;6.7),"6.3-6.69 = 5 points",IF(AND('Stream Parts I-II'!$U42&gt;=6.7,'Stream Parts I-II'!$U42&lt;7),"6.7-6.99 = 10 points",IF(AND('Stream Parts I-II'!$U42&gt;=7,'Stream Parts I-II'!$U42&lt;7.5),"7.0-7.49 = 20 points",IF(AND('Stream Parts I-II'!$U42&gt;=7.5,'Stream Parts I-II'!$U42&lt;7.8),"7.5-7.79 = 50 points",IF(AND('Stream Parts I-II'!$U42&gt;=7.8,'Stream Parts I-II'!$U42&lt;8.35),"7.8-8.34 = 80 points",IF(AND('Stream Parts I-II'!$U42&gt;=8.35,'Stream Parts I-II'!$U42&lt;9),"8.35-8.99 = 30 points",IF('Stream Parts I-II'!$U42&gt;=9,"9.0 or greater = 0 points","Check Data"))))))))))</f>
        <v>&lt;6.3 = 0 points</v>
      </c>
      <c r="M15" s="407">
        <f>IF('Stream Parts I-II'!$U42="","",IF(AND('Stream Parts I-II'!$U42&gt;=0,'Stream Parts I-II'!$U42&lt;6.3),0,IF(AND('Stream Parts I-II'!$U42&gt;=6.3,'Stream Parts I-II'!$U42&lt;6.7),5,IF(AND('Stream Parts I-II'!$U42&gt;=6.7,'Stream Parts I-II'!$U42&lt;7),10,IF(AND('Stream Parts I-II'!$U42&gt;=7,'Stream Parts I-II'!$U42&lt;7.5),20,IF(AND('Stream Parts I-II'!$U42&gt;=7.5,'Stream Parts I-II'!$U42&lt;7.8),50,IF(AND('Stream Parts I-II'!$U42&gt;=7.8,'Stream Parts I-II'!$U42&lt;8.35),80,IF(AND('Stream Parts I-II'!$U42&gt;=8.35,'Stream Parts I-II'!$U42&lt;9),30,IF('Stream Parts I-II'!$U42&gt;=9,0,"Check Data")))))))))</f>
        <v>0</v>
      </c>
      <c r="N15" s="406" t="str">
        <f>IF('Stream Parts I-II'!$H7=$B$13,$B$13,IF('Stream Parts I-II'!$AA42="","Enter a number 0 or greater.",IF(AND('Stream Parts I-II'!$AA42&gt;=0,'Stream Parts I-II'!$AA42&lt;6.3),"&lt;6.3 = 0 points",IF(AND('Stream Parts I-II'!$AA42&gt;=6.3,'Stream Parts I-II'!$AA42&lt;6.7),"6.3-6.69 = 5 points",IF(AND('Stream Parts I-II'!$AA42&gt;=6.7,'Stream Parts I-II'!$AA42&lt;7),"6.7-6.99 = 10 points",IF(AND('Stream Parts I-II'!$AA42&gt;=7,'Stream Parts I-II'!$AA42&lt;7.5),"7.0-7.49 = 20 points",IF(AND('Stream Parts I-II'!$AA42&gt;=7.5,'Stream Parts I-II'!$AA42&lt;7.8),"7.5-7.79 = 50 points",IF(AND('Stream Parts I-II'!$AA42&gt;=7.8,'Stream Parts I-II'!$AA42&lt;8.35),"7.8-8.34 = 80 points",IF(AND('Stream Parts I-II'!$AA42&gt;=8.35,'Stream Parts I-II'!$AA42&lt;9),"8.35-8.99 = 30 points",IF('Stream Parts I-II'!$AA42&gt;=9,"9.0 or greater = 0 points","Check Data"))))))))))</f>
        <v>&lt;6.3 = 0 points</v>
      </c>
      <c r="O15" s="407">
        <f>IF('Stream Parts I-II'!$AA42="","",IF(AND('Stream Parts I-II'!$AA42&gt;=0,'Stream Parts I-II'!$AA42&lt;6.3),0,IF(AND('Stream Parts I-II'!$AA42&gt;=6.3,'Stream Parts I-II'!$AA42&lt;6.7),5,IF(AND('Stream Parts I-II'!$AA42&gt;=6.7,'Stream Parts I-II'!$AA42&lt;7),10,IF(AND('Stream Parts I-II'!$AA42&gt;=7,'Stream Parts I-II'!$AA42&lt;7.5),20,IF(AND('Stream Parts I-II'!$AA42&gt;=7.5,'Stream Parts I-II'!$AA42&lt;7.8),50,IF(AND('Stream Parts I-II'!$AA42&gt;=7.8,'Stream Parts I-II'!$AA42&lt;8.35),80,IF(AND('Stream Parts I-II'!$AA42&gt;=8.35,'Stream Parts I-II'!$AA42&lt;9),30,IF('Stream Parts I-II'!$AA42&gt;=9,0,"Check Data")))))))))</f>
        <v>0</v>
      </c>
      <c r="S15" s="282" t="s">
        <v>287</v>
      </c>
      <c r="T15" s="107">
        <v>0.27</v>
      </c>
    </row>
    <row r="16" spans="1:22" x14ac:dyDescent="0.25">
      <c r="B16" s="58" t="s">
        <v>60</v>
      </c>
      <c r="D16" s="1044"/>
      <c r="E16" s="409" t="s">
        <v>180</v>
      </c>
      <c r="F16" s="406" t="str">
        <f>IF('Stream Parts I-II'!$C7=$B$13,$B$13,IF(AND('Stream Parts I-II'!$C7&lt;&gt;$B$13,'Stream Parts I-II'!AD36=FALSE,'Stream Parts I-II'!AD35=FALSE),"Assumed Value = 80 pts",IF('Stream Parts I-II'!$E42="","Enter a number 0 or greater.",IF(AND('Stream Parts I-II'!$E42&gt;=0,'Stream Parts I-II'!$E42&lt;6.3),"&lt;6.3 = 0 points",IF(AND('Stream Parts I-II'!$E42&gt;=6.3,'Stream Parts I-II'!$E42&lt;6.7),"6.3-6.69 = 5 points",IF(AND('Stream Parts I-II'!$E42&gt;=6.7,'Stream Parts I-II'!$E42&lt;7),"6.7-6.99 = 10 points",IF(AND('Stream Parts I-II'!$E42&gt;=7,'Stream Parts I-II'!$E42&lt;7.5),"7.0-7.49 = 20 points",IF(AND('Stream Parts I-II'!$E42&gt;=7.5,'Stream Parts I-II'!$E42&lt;7.8),"7.5-7.79 = 50 points",IF(AND('Stream Parts I-II'!$E42&gt;=7.8,'Stream Parts I-II'!$E42&lt;8.35),"7.8-8.34 = 80 points",IF(AND('Stream Parts I-II'!$E42&gt;=8.35,'Stream Parts I-II'!$E42&lt;9),"8.35-8.99 = 30 points",IF('Stream Parts I-II'!$E42&gt;=9,"9.0 or greater = 0 points","Check Data")))))))))))</f>
        <v>Assumed Value = 80 pts</v>
      </c>
      <c r="G16" s="407">
        <f>IF('Stream Parts I-II'!B42="Assumed Value = 80 pts",80,IF('Stream Parts I-II'!$E42="","",IF(AND('Stream Parts I-II'!$E42&gt;=0,'Stream Parts I-II'!$E42&lt;6.3),0,IF(AND('Stream Parts I-II'!$E42&gt;=6.3,'Stream Parts I-II'!$E42&lt;6.7),5,IF(AND('Stream Parts I-II'!$E42&gt;=6.7,'Stream Parts I-II'!$E42&lt;7),10,IF(AND('Stream Parts I-II'!$E42&gt;=7,'Stream Parts I-II'!$E42&lt;7.5),20,IF(AND('Stream Parts I-II'!$E42&gt;=7.5,'Stream Parts I-II'!$E42&lt;7.8),50,IF(AND('Stream Parts I-II'!$E42&gt;=7.8,'Stream Parts I-II'!$E42&lt;8.35),80,IF(AND('Stream Parts I-II'!$E42&gt;=8.35,'Stream Parts I-II'!$E42&lt;9),30,IF('Stream Parts I-II'!$E42&gt;=9,0,"Check Data"))))))))))</f>
        <v>0</v>
      </c>
      <c r="H16" s="406" t="str">
        <f>IF('Stream Parts I-II'!$H7=$B$13,$B$13,IF('Stream Parts I-II'!$J42="","Enter a number 0 or greater.",IF(AND('Stream Parts I-II'!$J42&gt;=0,'Stream Parts I-II'!$J42&lt;6.3),"&lt;6.3 = 0 points",IF(AND('Stream Parts I-II'!$J42&gt;=6.3,'Stream Parts I-II'!$J42&lt;6.7),"6.3-6.69 = 5 points",IF(AND('Stream Parts I-II'!$J42&gt;=6.7,'Stream Parts I-II'!$J42&lt;7),"6.7-6.99 = 10 points",IF(AND('Stream Parts I-II'!$J42&gt;=7,'Stream Parts I-II'!$J42&lt;7.5),"7.0-7.49 = 20 points",IF(AND('Stream Parts I-II'!$J42&gt;=7.5,'Stream Parts I-II'!$J42&lt;7.8),"7.5-7.79 = 50 points",IF(AND('Stream Parts I-II'!$J42&gt;=7.8,'Stream Parts I-II'!$J42&lt;8.35),"7.8-8.34 = 80 points",IF(AND('Stream Parts I-II'!$J42&gt;=8.35,'Stream Parts I-II'!$J42&lt;9),"8.35-8.99 = 30 points",IF('Stream Parts I-II'!$J42&gt;=9,"9.0 or greater = 0 points","Check Data"))))))))))</f>
        <v>&lt;6.3 = 0 points</v>
      </c>
      <c r="I16" s="407">
        <f>IF('Stream Parts I-II'!$J42="","",IF(AND('Stream Parts I-II'!$J42&gt;=0,'Stream Parts I-II'!$J42&lt;6.3),0,IF(AND('Stream Parts I-II'!$J42&gt;=6.3,'Stream Parts I-II'!$J42&lt;6.7),5,IF(AND('Stream Parts I-II'!$J42&gt;=6.7,'Stream Parts I-II'!$J42&lt;7),10,IF(AND('Stream Parts I-II'!$J42&gt;=7,'Stream Parts I-II'!$J42&lt;7.5),20,IF(AND('Stream Parts I-II'!$J42&gt;=7.5,'Stream Parts I-II'!$J42&lt;7.8),50,IF(AND('Stream Parts I-II'!$J42&gt;=7.8,'Stream Parts I-II'!$J42&lt;8.35),80,IF(AND('Stream Parts I-II'!$J42&gt;=8.35,'Stream Parts I-II'!$J42&lt;9),30,IF('Stream Parts I-II'!$J42&gt;=9,0,"Check Data")))))))))</f>
        <v>0</v>
      </c>
      <c r="J16" s="406" t="str">
        <f>IF('Stream Parts I-II'!$H7=$B$13,$B$13,IF('Stream Parts I-II'!$P42="","Enter a number 0 or greater.",IF(AND('Stream Parts I-II'!$P42&gt;=0,'Stream Parts I-II'!$P42&lt;6.3),"&lt;6.3 = 0 points",IF(AND('Stream Parts I-II'!$P42&gt;=6.3,'Stream Parts I-II'!$P42&lt;6.7),"6.3-6.69 = 5 points",IF(AND('Stream Parts I-II'!$P42&gt;=6.7,'Stream Parts I-II'!$P42&lt;7),"6.7-6.99 = 10 points",IF(AND('Stream Parts I-II'!$P42&gt;=7,'Stream Parts I-II'!$P42&lt;7.5),"7.0-7.49 = 20 points",IF(AND('Stream Parts I-II'!$P42&gt;=7.5,'Stream Parts I-II'!$P42&lt;7.8),"7.5-7.79 = 50 points",IF(AND('Stream Parts I-II'!$P42&gt;=7.8,'Stream Parts I-II'!$P42&lt;8.35),"7.8-8.34 = 80 points",IF(AND('Stream Parts I-II'!$P42&gt;=8.35,'Stream Parts I-II'!$P42&lt;9),"8.35-8.99 = 30 points",IF('Stream Parts I-II'!$P42&gt;=9,"9.0 or greater = 0 points","Check Data"))))))))))</f>
        <v>&lt;6.3 = 0 points</v>
      </c>
      <c r="K16" s="407">
        <f>IF('Stream Parts I-II'!$P42="","",IF(AND('Stream Parts I-II'!$P42&gt;=0,'Stream Parts I-II'!$P42&lt;6.3),0,IF(AND('Stream Parts I-II'!$P42&gt;=6.3,'Stream Parts I-II'!$P42&lt;6.7),5,IF(AND('Stream Parts I-II'!$P42&gt;=6.7,'Stream Parts I-II'!$P42&lt;7),10,IF(AND('Stream Parts I-II'!$P42&gt;=7,'Stream Parts I-II'!$P42&lt;7.5),20,IF(AND('Stream Parts I-II'!$P42&gt;=7.5,'Stream Parts I-II'!$P42&lt;7.8),50,IF(AND('Stream Parts I-II'!$P42&gt;=7.8,'Stream Parts I-II'!$P42&lt;8.35),80,IF(AND('Stream Parts I-II'!$P42&gt;=8.35,'Stream Parts I-II'!$P42&lt;9),30,IF('Stream Parts I-II'!$P42&gt;=9,0,"Check Data")))))))))</f>
        <v>0</v>
      </c>
      <c r="L16" s="406" t="str">
        <f>IF('Stream Parts I-II'!$H7=$B$13,$B$13,IF('Stream Parts I-II'!$U42="","Enter a number 0 or greater.",IF(AND('Stream Parts I-II'!$U42&gt;=0,'Stream Parts I-II'!$U42&lt;6.3),"&lt;6.3 = 0 points",IF(AND('Stream Parts I-II'!$U42&gt;=6.3,'Stream Parts I-II'!$U42&lt;6.7),"6.3-6.69 = 5 points",IF(AND('Stream Parts I-II'!$U42&gt;=6.7,'Stream Parts I-II'!$U42&lt;7),"6.7-6.99 = 10 points",IF(AND('Stream Parts I-II'!$U42&gt;=7,'Stream Parts I-II'!$U42&lt;7.5),"7.0-7.49 = 20 points",IF(AND('Stream Parts I-II'!$U42&gt;=7.5,'Stream Parts I-II'!$U42&lt;7.8),"7.5-7.79 = 50 points",IF(AND('Stream Parts I-II'!$U42&gt;=7.8,'Stream Parts I-II'!$U42&lt;8.35),"7.8-8.34 = 80 points",IF(AND('Stream Parts I-II'!$U42&gt;=8.35,'Stream Parts I-II'!$U42&lt;9),"8.35-8.99 = 30 points",IF('Stream Parts I-II'!$U42&gt;=9,"9.0 or greater = 0 points","Check Data"))))))))))</f>
        <v>&lt;6.3 = 0 points</v>
      </c>
      <c r="M16" s="407">
        <f>IF('Stream Parts I-II'!$U42="","",IF(AND('Stream Parts I-II'!$U42&gt;=0,'Stream Parts I-II'!$U42&lt;6.3),0,IF(AND('Stream Parts I-II'!$U42&gt;=6.3,'Stream Parts I-II'!$U42&lt;6.7),5,IF(AND('Stream Parts I-II'!$U42&gt;=6.7,'Stream Parts I-II'!$U42&lt;7),10,IF(AND('Stream Parts I-II'!$U42&gt;=7,'Stream Parts I-II'!$U42&lt;7.5),20,IF(AND('Stream Parts I-II'!$U42&gt;=7.5,'Stream Parts I-II'!$U42&lt;7.8),50,IF(AND('Stream Parts I-II'!$U42&gt;=7.8,'Stream Parts I-II'!$U42&lt;8.35),80,IF(AND('Stream Parts I-II'!$U42&gt;=8.35,'Stream Parts I-II'!$U42&lt;9),30,IF('Stream Parts I-II'!$U42&gt;=9,0,"Check Data")))))))))</f>
        <v>0</v>
      </c>
      <c r="N16" s="406" t="str">
        <f>IF('Stream Parts I-II'!$H7=$B$13,$B$13,IF('Stream Parts I-II'!$AA42="","Enter a number 0 or greater.",IF(AND('Stream Parts I-II'!$AA42&gt;=0,'Stream Parts I-II'!$AA42&lt;6.3),"&lt;6.3 = 0 points",IF(AND('Stream Parts I-II'!$AA42&gt;=6.3,'Stream Parts I-II'!$AA42&lt;6.7),"6.3-6.69 = 5 points",IF(AND('Stream Parts I-II'!$AA42&gt;=6.7,'Stream Parts I-II'!$AA42&lt;7),"6.7-6.99 = 10 points",IF(AND('Stream Parts I-II'!$AA42&gt;=7,'Stream Parts I-II'!$AA42&lt;7.5),"7.0-7.49 = 20 points",IF(AND('Stream Parts I-II'!$AA42&gt;=7.5,'Stream Parts I-II'!$AA42&lt;7.8),"7.5-7.79 = 50 points",IF(AND('Stream Parts I-II'!$AA42&gt;=7.8,'Stream Parts I-II'!$AA42&lt;8.35),"7.8-8.34 = 80 points",IF(AND('Stream Parts I-II'!$AA42&gt;=8.35,'Stream Parts I-II'!$AA42&lt;9),"8.35-8.99 = 30 points",IF('Stream Parts I-II'!$AA42&gt;=9,"9.0 or greater = 0 points","Check Data"))))))))))</f>
        <v>&lt;6.3 = 0 points</v>
      </c>
      <c r="O16" s="407">
        <f>IF('Stream Parts I-II'!$AA42="","",IF(AND('Stream Parts I-II'!$AA42&gt;=0,'Stream Parts I-II'!$AA42&lt;6.3),0,IF(AND('Stream Parts I-II'!$AA42&gt;=6.3,'Stream Parts I-II'!$AA42&lt;6.7),5,IF(AND('Stream Parts I-II'!$AA42&gt;=6.7,'Stream Parts I-II'!$AA42&lt;7),10,IF(AND('Stream Parts I-II'!$AA42&gt;=7,'Stream Parts I-II'!$AA42&lt;7.5),20,IF(AND('Stream Parts I-II'!$AA42&gt;=7.5,'Stream Parts I-II'!$AA42&lt;7.8),50,IF(AND('Stream Parts I-II'!$AA42&gt;=7.8,'Stream Parts I-II'!$AA42&lt;8.35),80,IF(AND('Stream Parts I-II'!$AA42&gt;=8.35,'Stream Parts I-II'!$AA42&lt;9),30,IF('Stream Parts I-II'!$AA42&gt;=9,0,"Check Data")))))))))</f>
        <v>0</v>
      </c>
      <c r="S16" s="282" t="s">
        <v>288</v>
      </c>
      <c r="T16" s="107">
        <v>0.3</v>
      </c>
    </row>
    <row r="17" spans="1:20" x14ac:dyDescent="0.25">
      <c r="A17" s="108" t="s">
        <v>493</v>
      </c>
      <c r="B17" s="405" t="s">
        <v>189</v>
      </c>
      <c r="D17" s="1044"/>
      <c r="E17" s="409" t="s">
        <v>181</v>
      </c>
      <c r="F17" s="406" t="str">
        <f>IF('Stream Parts I-II'!$C7=$B$13,$B$13,IF(AND('Stream Parts I-II'!$C7&lt;&gt;$B$13,'Stream Parts I-II'!AD36=FALSE,'Stream Parts I-II'!AD35=FALSE),"Assumed Value = 80 pts",IF('Stream Parts I-II'!$E42="","Enter a number 0 or greater.",IF(AND('Stream Parts I-II'!$E42&gt;=0,'Stream Parts I-II'!$E42&lt;6.3),"&lt;6.3 = 0 points",IF(AND('Stream Parts I-II'!$E42&gt;=6.3,'Stream Parts I-II'!$E42&lt;6.7),"6.3-6.69 = 5 points",IF(AND('Stream Parts I-II'!$E42&gt;=6.7,'Stream Parts I-II'!$E42&lt;7),"6.7-6.99 = 10 points",IF(AND('Stream Parts I-II'!$E42&gt;=7,'Stream Parts I-II'!$E42&lt;7.5),"7.0-7.49 = 20 points",IF(AND('Stream Parts I-II'!$E42&gt;=7.5,'Stream Parts I-II'!$E42&lt;7.8),"7.5-7.79 = 50 points",IF(AND('Stream Parts I-II'!$E42&gt;=7.8,'Stream Parts I-II'!$E42&lt;8.35),"7.8-8.34 = 80 points",IF(AND('Stream Parts I-II'!$E42&gt;=8.35,'Stream Parts I-II'!$E42&lt;9),"8.35-8.99 = 30 points",IF('Stream Parts I-II'!$E42&gt;=9,"9.0 or greater = 0 points","Check Data")))))))))))</f>
        <v>Assumed Value = 80 pts</v>
      </c>
      <c r="G17" s="407">
        <f>IF('Stream Parts I-II'!B42="Assumed Value = 80 pts",80,IF('Stream Parts I-II'!$E42="","",IF(AND('Stream Parts I-II'!$E42&gt;=0,'Stream Parts I-II'!$E42&lt;6.3),0,IF(AND('Stream Parts I-II'!$E42&gt;=6.3,'Stream Parts I-II'!$E42&lt;6.7),5,IF(AND('Stream Parts I-II'!$E42&gt;=6.7,'Stream Parts I-II'!$E42&lt;7),10,IF(AND('Stream Parts I-II'!$E42&gt;=7,'Stream Parts I-II'!$E42&lt;7.5),20,IF(AND('Stream Parts I-II'!$E42&gt;=7.5,'Stream Parts I-II'!$E42&lt;7.8),50,IF(AND('Stream Parts I-II'!$E42&gt;=7.8,'Stream Parts I-II'!$E42&lt;8.35),80,IF(AND('Stream Parts I-II'!$E42&gt;=8.35,'Stream Parts I-II'!$E42&lt;9),30,IF('Stream Parts I-II'!$E42&gt;=9,0,"Check Data"))))))))))</f>
        <v>0</v>
      </c>
      <c r="H17" s="406" t="str">
        <f>IF('Stream Parts I-II'!$H7=$B$13,$B$13,IF('Stream Parts I-II'!$J42="","Enter a number 0 or greater.",IF(AND('Stream Parts I-II'!$J42&gt;=0,'Stream Parts I-II'!$J42&lt;6.3),"&lt;6.3 = 0 points",IF(AND('Stream Parts I-II'!$J42&gt;=6.3,'Stream Parts I-II'!$J42&lt;6.7),"6.3-6.69 = 5 points",IF(AND('Stream Parts I-II'!$J42&gt;=6.7,'Stream Parts I-II'!$J42&lt;7),"6.7-6.99 = 10 points",IF(AND('Stream Parts I-II'!$J42&gt;=7,'Stream Parts I-II'!$J42&lt;7.5),"7.0-7.49 = 20 points",IF(AND('Stream Parts I-II'!$J42&gt;=7.5,'Stream Parts I-II'!$J42&lt;7.8),"7.5-7.79 = 50 points",IF(AND('Stream Parts I-II'!$J42&gt;=7.8,'Stream Parts I-II'!$J42&lt;8.35),"7.8-8.34 = 80 points",IF(AND('Stream Parts I-II'!$J42&gt;=8.35,'Stream Parts I-II'!$J42&lt;9),"8.35-8.99 = 30 points",IF('Stream Parts I-II'!$J42&gt;=9,"9.0 or greater = 0 points","Check Data"))))))))))</f>
        <v>&lt;6.3 = 0 points</v>
      </c>
      <c r="I17" s="407">
        <f>IF('Stream Parts I-II'!$J42="","",IF(AND('Stream Parts I-II'!$J42&gt;=0,'Stream Parts I-II'!$J42&lt;6.3),0,IF(AND('Stream Parts I-II'!$J42&gt;=6.3,'Stream Parts I-II'!$J42&lt;6.7),5,IF(AND('Stream Parts I-II'!$J42&gt;=6.7,'Stream Parts I-II'!$J42&lt;7),10,IF(AND('Stream Parts I-II'!$J42&gt;=7,'Stream Parts I-II'!$J42&lt;7.5),20,IF(AND('Stream Parts I-II'!$J42&gt;=7.5,'Stream Parts I-II'!$J42&lt;7.8),50,IF(AND('Stream Parts I-II'!$J42&gt;=7.8,'Stream Parts I-II'!$J42&lt;8.35),80,IF(AND('Stream Parts I-II'!$J42&gt;=8.35,'Stream Parts I-II'!$J42&lt;9),30,IF('Stream Parts I-II'!$J42&gt;=9,0,"Check Data")))))))))</f>
        <v>0</v>
      </c>
      <c r="J17" s="406" t="str">
        <f>IF('Stream Parts I-II'!$H7=$B$13,$B$13,IF('Stream Parts I-II'!$P42="","Enter a number 0 or greater.",IF(AND('Stream Parts I-II'!$P42&gt;=0,'Stream Parts I-II'!$P42&lt;6.3),"&lt;6.3 = 0 points",IF(AND('Stream Parts I-II'!$P42&gt;=6.3,'Stream Parts I-II'!$P42&lt;6.7),"6.3-6.69 = 5 points",IF(AND('Stream Parts I-II'!$P42&gt;=6.7,'Stream Parts I-II'!$P42&lt;7),"6.7-6.99 = 10 points",IF(AND('Stream Parts I-II'!$P42&gt;=7,'Stream Parts I-II'!$P42&lt;7.5),"7.0-7.49 = 20 points",IF(AND('Stream Parts I-II'!$P42&gt;=7.5,'Stream Parts I-II'!$P42&lt;7.8),"7.5-7.79 = 50 points",IF(AND('Stream Parts I-II'!$P42&gt;=7.8,'Stream Parts I-II'!$P42&lt;8.35),"7.8-8.34 = 80 points",IF(AND('Stream Parts I-II'!$P42&gt;=8.35,'Stream Parts I-II'!$P42&lt;9),"8.35-8.99 = 30 points",IF('Stream Parts I-II'!$P42&gt;=9,"9.0 or greater = 0 points","Check Data"))))))))))</f>
        <v>&lt;6.3 = 0 points</v>
      </c>
      <c r="K17" s="407">
        <f>IF('Stream Parts I-II'!$P42="","",IF(AND('Stream Parts I-II'!$P42&gt;=0,'Stream Parts I-II'!$P42&lt;6.3),0,IF(AND('Stream Parts I-II'!$P42&gt;=6.3,'Stream Parts I-II'!$P42&lt;6.7),5,IF(AND('Stream Parts I-II'!$P42&gt;=6.7,'Stream Parts I-II'!$P42&lt;7),10,IF(AND('Stream Parts I-II'!$P42&gt;=7,'Stream Parts I-II'!$P42&lt;7.5),20,IF(AND('Stream Parts I-II'!$P42&gt;=7.5,'Stream Parts I-II'!$P42&lt;7.8),50,IF(AND('Stream Parts I-II'!$P42&gt;=7.8,'Stream Parts I-II'!$P42&lt;8.35),80,IF(AND('Stream Parts I-II'!$P42&gt;=8.35,'Stream Parts I-II'!$P42&lt;9),30,IF('Stream Parts I-II'!$P42&gt;=9,0,"Check Data")))))))))</f>
        <v>0</v>
      </c>
      <c r="L17" s="406" t="str">
        <f>IF('Stream Parts I-II'!$H7=$B$13,$B$13,IF('Stream Parts I-II'!$U42="","Enter a number 0 or greater.",IF(AND('Stream Parts I-II'!$U42&gt;=0,'Stream Parts I-II'!$U42&lt;6.3),"&lt;6.3 = 0 points",IF(AND('Stream Parts I-II'!$U42&gt;=6.3,'Stream Parts I-II'!$U42&lt;6.7),"6.3-6.69 = 5 points",IF(AND('Stream Parts I-II'!$U42&gt;=6.7,'Stream Parts I-II'!$U42&lt;7),"6.7-6.99 = 10 points",IF(AND('Stream Parts I-II'!$U42&gt;=7,'Stream Parts I-II'!$U42&lt;7.5),"7.0-7.49 = 20 points",IF(AND('Stream Parts I-II'!$U42&gt;=7.5,'Stream Parts I-II'!$U42&lt;7.8),"7.5-7.79 = 50 points",IF(AND('Stream Parts I-II'!$U42&gt;=7.8,'Stream Parts I-II'!$U42&lt;8.35),"7.8-8.34 = 80 points",IF(AND('Stream Parts I-II'!$U42&gt;=8.35,'Stream Parts I-II'!$U42&lt;9),"8.35-8.99 = 30 points",IF('Stream Parts I-II'!$U42&gt;=9,"9.0 or greater = 0 points","Check Data"))))))))))</f>
        <v>&lt;6.3 = 0 points</v>
      </c>
      <c r="M17" s="407">
        <f>IF('Stream Parts I-II'!$U42="","",IF(AND('Stream Parts I-II'!$U42&gt;=0,'Stream Parts I-II'!$U42&lt;6.3),0,IF(AND('Stream Parts I-II'!$U42&gt;=6.3,'Stream Parts I-II'!$U42&lt;6.7),5,IF(AND('Stream Parts I-II'!$U42&gt;=6.7,'Stream Parts I-II'!$U42&lt;7),10,IF(AND('Stream Parts I-II'!$U42&gt;=7,'Stream Parts I-II'!$U42&lt;7.5),20,IF(AND('Stream Parts I-II'!$U42&gt;=7.5,'Stream Parts I-II'!$U42&lt;7.8),50,IF(AND('Stream Parts I-II'!$U42&gt;=7.8,'Stream Parts I-II'!$U42&lt;8.35),80,IF(AND('Stream Parts I-II'!$U42&gt;=8.35,'Stream Parts I-II'!$U42&lt;9),30,IF('Stream Parts I-II'!$U42&gt;=9,0,"Check Data")))))))))</f>
        <v>0</v>
      </c>
      <c r="N17" s="406" t="str">
        <f>IF('Stream Parts I-II'!$H7=$B$13,$B$13,IF('Stream Parts I-II'!$AA42="","Enter a number 0 or greater.",IF(AND('Stream Parts I-II'!$AA42&gt;=0,'Stream Parts I-II'!$AA42&lt;6.3),"&lt;6.3 = 0 points",IF(AND('Stream Parts I-II'!$AA42&gt;=6.3,'Stream Parts I-II'!$AA42&lt;6.7),"6.3-6.69 = 5 points",IF(AND('Stream Parts I-II'!$AAU42&gt;=6.7,'Stream Parts I-II'!$AA42&lt;7),"6.7-6.99 = 10 points",IF(AND('Stream Parts I-II'!$AA42&gt;=7,'Stream Parts I-II'!$UAA42&lt;7.5),"7.0-7.49 = 20 points",IF(AND('Stream Parts I-II'!$AA42&gt;=7.5,'Stream Parts I-II'!$AA42&lt;7.8),"7.5-7.79 = 50 points",IF(AND('Stream Parts I-II'!$AA42&gt;=7.8,'Stream Parts I-II'!$AA42&lt;8.35),"7.8-8.34 = 80 points",IF(AND('Stream Parts I-II'!$AA42&gt;=8.35,'Stream Parts I-II'!$AA42&lt;9),"8.35-8.99 = 30 points",IF('Stream Parts I-II'!$AA42&gt;=9,"9.0 or greater = 0 points","Check Data"))))))))))</f>
        <v>&lt;6.3 = 0 points</v>
      </c>
      <c r="O17" s="407">
        <f>IF('Stream Parts I-II'!$AA42="","",IF(AND('Stream Parts I-II'!$AA42&gt;=0,'Stream Parts I-II'!$AA42&lt;6.3),0,IF(AND('Stream Parts I-II'!$AA42&gt;=6.3,'Stream Parts I-II'!$AA42&lt;6.7),5,IF(AND('Stream Parts I-II'!$AA42&gt;=6.7,'Stream Parts I-II'!$AA42&lt;7),10,IF(AND('Stream Parts I-II'!$AA42&gt;=7,'Stream Parts I-II'!$AA42&lt;7.5),20,IF(AND('Stream Parts I-II'!$AA42&gt;=7.5,'Stream Parts I-II'!$AA42&lt;7.8),50,IF(AND('Stream Parts I-II'!$AA42&gt;=7.8,'Stream Parts I-II'!$AA42&lt;8.35),80,IF(AND('Stream Parts I-II'!$AA42&gt;=8.35,'Stream Parts I-II'!$AA42&lt;9),30,IF('Stream Parts I-II'!$AA42&gt;=9,0,"Check Data")))))))))</f>
        <v>0</v>
      </c>
      <c r="S17" s="282" t="s">
        <v>289</v>
      </c>
      <c r="T17" s="107">
        <v>0.33</v>
      </c>
    </row>
    <row r="18" spans="1:20" x14ac:dyDescent="0.25">
      <c r="A18" s="107" t="str">
        <f>IF(AND(OR('Stream Parts I-II'!C7=B14,'Stream Parts I-II'!C7=B15),'Stream Parts I-II'!C8&lt;=4), "No HGM",IF(AND('Stream Parts I-II'!C7=B16,'Stream Parts I-II'!C8&gt;4),"No HGM","HGM OK"))</f>
        <v>No HGM</v>
      </c>
      <c r="B18" s="82" t="s">
        <v>184</v>
      </c>
      <c r="E18" s="410" t="s">
        <v>371</v>
      </c>
      <c r="F18" s="208" t="str">
        <f>IF('Stream Parts I-II'!$C7=$B$13,$B$13,IF(AND('Stream Parts I-II'!$C7&lt;&gt;$B$13,'Stream Parts I-II'!AD36=FALSE,'Stream Parts I-II'!AD35=FALSE),"Assumed Value = 45 pts",IF('Stream Parts I-II'!$E42="","Enter a number 0 or greater.",IF(AND('Stream Parts I-II'!$E42&gt;=0,'Stream Parts I-II'!$E42&lt;3.6),"&lt;3.60 = 0 points",IF(AND('Stream Parts I-II'!$E42&gt;=3.6,'Stream Parts I-II'!$E42&lt;=4.5),"3.60-4.50 = 5 points",IF(AND('Stream Parts I-II'!$E42&gt;4.5,'Stream Parts I-II'!$E42&lt;=5.5),"4.51-5.50 = 10 points",IF(AND('Stream Parts I-II'!$E42&gt;5.5,'Stream Parts I-II'!$E42&lt;6),"5.51-5.99 = 45 points",IF(AND('Stream Parts I-II'!$E42&gt;=6,'Stream Parts I-II'!$E42&lt;=8),"6.00-8.00 = 80 points",IF(AND('Stream Parts I-II'!$E42&gt;8,'Stream Parts I-II'!$E42&lt;=9),"8.01-9.00 = 45 points",IF(AND('Stream Parts I-II'!$E42&gt;9,'Stream Parts I-II'!$E42&lt;11),"9.01-10.99 = 10 points",IF('Stream Parts I-II'!$E42&gt;=11,"11.0 or greater = 0 points","Check Data")))))))))))</f>
        <v>Assumed Value = 45 pts</v>
      </c>
      <c r="G18" s="209">
        <f>IF('Stream Parts I-II'!B42="Assumed Value = 45 pts",45,IF('Stream Parts I-II'!$E42="","",IF(AND('Stream Parts I-II'!$E42&gt;=0,'Stream Parts I-II'!$E42&lt;3.6),  0,IF(AND('Stream Parts I-II'!$E42&gt;=3.6,'Stream Parts I-II'!$E42&lt;4.5), 5,IF(AND('Stream Parts I-II'!$E42&gt;=4.5,'Stream Parts I-II'!$E42&lt;5.5), 10,IF(AND('Stream Parts I-II'!$E42&gt;=5.5,'Stream Parts I-II'!$E42&lt;6), 45,IF(AND('Stream Parts I-II'!$E42&gt;=6,'Stream Parts I-II'!$E42&lt;8.01), 80,IF(AND('Stream Parts I-II'!$E42&gt;=8.01,'Stream Parts I-II'!$E42&lt;9.01), 45,IF(AND('Stream Parts I-II'!$E42&gt;=9.01,'Stream Parts I-II'!$E42&lt;11), 10,IF('Stream Parts I-II'!$E42&gt;=11, 0,"Check Data"))))))))))</f>
        <v>45</v>
      </c>
      <c r="H18" s="208" t="str">
        <f>IF('Stream Parts I-II'!$H7=$B$13,$B$13,IF('Stream Parts I-II'!$J42="","Enter a number 0 or greater.",IF(AND('Stream Parts I-II'!$J42&gt;=0,'Stream Parts I-II'!$J42&lt;3.6),"&lt;3.60 = 0 points",IF(AND('Stream Parts I-II'!$J42&gt;=3.6,'Stream Parts I-II'!$J42&lt;=4.5),"3.60-4.50 = 5 points",IF(AND('Stream Parts I-II'!$J42&gt;4.5,'Stream Parts I-II'!$J42&lt;=5.5),"4.51-5.50 = 10 points",IF(AND('Stream Parts I-II'!$J42&gt;5.5,'Stream Parts I-II'!$J42&lt;6),"5.51-5.99 = 45 points",IF(AND('Stream Parts I-II'!$J42&gt;=6,'Stream Parts I-II'!$J42&lt;=8),"6.00-8.00 = 80 points",IF(AND('Stream Parts I-II'!$J42&gt;8,'Stream Parts I-II'!$J42&lt;=9),"8.01-9.00 = 45 points",IF(AND('Stream Parts I-II'!$J42&gt;9,'Stream Parts I-II'!$J42&lt;11),"9.01-10.99 = 10 points",IF('Stream Parts I-II'!$J42&gt;=11,"11.0 or greater = 0 points","Check Data"))))))))))</f>
        <v>&lt;3.60 = 0 points</v>
      </c>
      <c r="I18" s="209">
        <f>IF('Stream Parts I-II'!$J42="","",IF(AND('Stream Parts I-II'!$J42&gt;=0,'Stream Parts I-II'!$J42&lt;3.6),0,IF(AND('Stream Parts I-II'!$J42&gt;=3.6,'Stream Parts I-II'!$J42&lt;4.5),5,IF(AND('Stream Parts I-II'!$J42&gt;=4.5,'Stream Parts I-II'!$J42&lt;5.5),10,IF(AND('Stream Parts I-II'!$J42&gt;=5.5,'Stream Parts I-II'!$J42&lt;6),45,IF(AND('Stream Parts I-II'!$J42&gt;=6,'Stream Parts I-II'!$J42&lt;8.01),80,IF(AND('Stream Parts I-II'!$J42&gt;=8.01,'Stream Parts I-II'!$J42&lt;9.01),45,IF(AND('Stream Parts I-II'!$J42&gt;=9.01,'Stream Parts I-II'!$J42&lt;11),10,IF('Stream Parts I-II'!$J42&gt;=11,0,"Check Data")))))))))</f>
        <v>0</v>
      </c>
      <c r="J18" s="208" t="str">
        <f>IF('Stream Parts I-II'!$H7=$B$13,$B$13,IF('Stream Parts I-II'!$P42="","Enter a number 0 or greater.",IF(AND('Stream Parts I-II'!$P42&gt;=0,'Stream Parts I-II'!$P42&lt;3.6),"&lt;3.60 = 0 points",IF(AND('Stream Parts I-II'!$P42&gt;=3.6,'Stream Parts I-II'!$P42&lt;=4.5),"3.60-4.50 = 5 points",IF(AND('Stream Parts I-II'!$P42&gt;4.5,'Stream Parts I-II'!$P42&lt;=5.5),"4.51-5.50 = 10 points",IF(AND('Stream Parts I-II'!$P42&gt;5.5,'Stream Parts I-II'!$P42&lt;6),"5.51-5.99 = 45 points",IF(AND('Stream Parts I-II'!$P42&gt;=6,'Stream Parts I-II'!$P42&lt;=8),"6.00-8.00 = 80 points",IF(AND('Stream Parts I-II'!$P42&gt;8,'Stream Parts I-II'!$P42&lt;=9),"8.01-9.00 = 45 points",IF(AND('Stream Parts I-II'!$P42&gt;9,'Stream Parts I-II'!$P42&lt;11),"9.01-10.99 = 10 points",IF('Stream Parts I-II'!$P42&gt;=11,"11.0 or greater = 0 points","Check Data"))))))))))</f>
        <v>3.60-4.50 = 5 points</v>
      </c>
      <c r="K18" s="209">
        <f>IF('Stream Parts I-II'!$P42="","",IF(AND('Stream Parts I-II'!$P42&gt;=0,'Stream Parts I-II'!$P42&lt;3.6),0,IF(AND('Stream Parts I-II'!$P42&gt;=3.6,'Stream Parts I-II'!$P42&lt;4.5),5,IF(AND('Stream Parts I-II'!$P42&gt;=4.5,'Stream Parts I-II'!$P42&lt;5.5),10,IF(AND('Stream Parts I-II'!$P42&gt;=5.5,'Stream Parts I-II'!$P42&lt;6),45,IF(AND('Stream Parts I-II'!$P42&gt;=6,'Stream Parts I-II'!$P42&lt;8.01),80,IF(AND('Stream Parts I-II'!$P42&gt;=8.01,'Stream Parts I-II'!$P42&lt;9.01),45,IF(AND('Stream Parts I-II'!$P42&gt;=9.01,'Stream Parts I-II'!$P42&lt;11),10,IF('Stream Parts I-II'!$P42&gt;=11,0,"Check Data")))))))))</f>
        <v>5</v>
      </c>
      <c r="L18" s="422" t="str">
        <f>IF('Stream Parts I-II'!$H7=$B$13,$B$13,IF('Stream Parts I-II'!$U42="","Enter a number 0 or greater.",IF(AND('Stream Parts I-II'!$U42&gt;=0,'Stream Parts I-II'!$U42&lt;3.6),"&lt;3.60 = 0 points",IF(AND('Stream Parts I-II'!$U42&gt;=3.6,'Stream Parts I-II'!$U42&lt;=4.5),"3.60-4.50 = 5 points",IF(AND('Stream Parts I-II'!$U42&gt;4.5,'Stream Parts I-II'!$U42&lt;=5.5),"4.51-5.50 = 10 points",IF(AND('Stream Parts I-II'!$U42&gt;5.5,'Stream Parts I-II'!$U42&lt;6),"5.51-5.99 = 45 points",IF(AND('Stream Parts I-II'!$U42&gt;=6,'Stream Parts I-II'!$U42&lt;=8),"6.00-8.00 = 80 points",IF(AND('Stream Parts I-II'!$U42&gt;8,'Stream Parts I-II'!$U42&lt;=9),"8.01-9.00 = 45 points",IF(AND('Stream Parts I-II'!$U42&gt;9,'Stream Parts I-II'!$U42&lt;11),"9.01-10.99 = 10 points",IF('Stream Parts I-II'!$U42&gt;=11,"11.0 or greater = 0 points","Check Data"))))))))))</f>
        <v>6.00-8.00 = 80 points</v>
      </c>
      <c r="M18" s="412">
        <f>IF('Stream Parts I-II'!$U42="","",IF(AND('Stream Parts I-II'!$U42&gt;=0,'Stream Parts I-II'!$U42&lt;3.6),0,IF(AND('Stream Parts I-II'!$U42&gt;=3.6,'Stream Parts I-II'!$U42&lt;4.5),5,IF(AND('Stream Parts I-II'!$U42&gt;=4.5,'Stream Parts I-II'!$U42&lt;5.5),10,IF(AND('Stream Parts I-II'!$U42&gt;=5.5,'Stream Parts I-II'!$U42&lt;6),45,IF(AND('Stream Parts I-II'!$U42&gt;=6,'Stream Parts I-II'!$U42&lt;8.01),80,IF(AND('Stream Parts I-II'!$U42&gt;=8.01,'Stream Parts I-II'!$U42&lt;9.01),45,IF(AND('Stream Parts I-II'!$U42&gt;=9.01,'Stream Parts I-II'!$U42&lt;11),10,IF('Stream Parts I-II'!$U42&gt;=11,0,"Check Data")))))))))</f>
        <v>80</v>
      </c>
      <c r="N18" s="208" t="str">
        <f>IF('Stream Parts I-II'!$H7=$B$13,$B$13,IF('Stream Parts I-II'!$AA42="","Enter a number 0 or greater.",IF(AND('Stream Parts I-II'!$AA42&gt;=0,'Stream Parts I-II'!$AA42&lt;3.6),"&lt;3.60 = 0 points",IF(AND('Stream Parts I-II'!$AA42&gt;=3.6,'Stream Parts I-II'!$AA42&lt;=4.5),"3.60-4.50 = 5 points",IF(AND('Stream Parts I-II'!$AA42&gt;4.5,'Stream Parts I-II'!$AA42&lt;=5.5),"4.51-5.50 = 10 points",IF(AND('Stream Parts I-II'!$AA42&gt;5.5,'Stream Parts I-II'!$AA42&lt;6),"5.51-5.99 = 45 points",IF(AND('Stream Parts I-II'!$AA42&gt;=6,'Stream Parts I-II'!$AA42&lt;=8),"6.00-8.00 = 80 points",IF(AND('Stream Parts I-II'!$AA42&gt;8,'Stream Parts I-II'!$AA42&lt;=9),"8.01-9.00 = 45 points",IF(AND('Stream Parts I-II'!$AA42&gt;9,'Stream Parts I-II'!$AA42&lt;11),"9.01-10.99 = 10 points",IF('Stream Parts I-II'!$AA42&gt;=11,"11.0 or greater = 0 points","Check Data"))))))))))</f>
        <v>6.00-8.00 = 80 points</v>
      </c>
      <c r="O18" s="209">
        <f>IF('Stream Parts I-II'!$AA42="","",IF(AND('Stream Parts I-II'!$AA42&gt;=0,'Stream Parts I-II'!$AA42&lt;3.6),0,IF(AND('Stream Parts I-II'!AA$42&gt;=3.6,'Stream Parts I-II'!$AA42&lt;4.5),5,IF(AND('Stream Parts I-II'!$AA42&gt;=4.5,'Stream Parts I-II'!$AA42&lt;5.5),10,IF(AND('Stream Parts I-II'!$AA42&gt;=5.5,'Stream Parts I-II'!$AA42&lt;6),45,IF(AND('Stream Parts I-II'!$AA42&gt;=6,'Stream Parts I-II'!$AA42&lt;8.01),80,IF(AND('Stream Parts I-II'!$AA42&gt;=8.01,'Stream Parts I-II'!AA$42&lt;9.01),45,IF(AND('Stream Parts I-II'!$AA42&gt;=9.01,'Stream Parts I-II'!$AA42&lt;11),10,IF('Stream Parts I-II'!$AA42&gt;=11,0,"Check Data")))))))))</f>
        <v>80</v>
      </c>
      <c r="S18" s="282" t="s">
        <v>290</v>
      </c>
      <c r="T18" s="107">
        <v>0.36</v>
      </c>
    </row>
    <row r="19" spans="1:20" x14ac:dyDescent="0.25">
      <c r="A19" s="108" t="s">
        <v>494</v>
      </c>
      <c r="B19" s="350" t="s">
        <v>145</v>
      </c>
      <c r="F19" s="206" t="s">
        <v>204</v>
      </c>
      <c r="G19" s="207" t="s">
        <v>205</v>
      </c>
      <c r="H19" s="206" t="s">
        <v>204</v>
      </c>
      <c r="I19" s="207" t="s">
        <v>205</v>
      </c>
      <c r="J19" s="206" t="s">
        <v>204</v>
      </c>
      <c r="K19" s="207" t="s">
        <v>205</v>
      </c>
      <c r="L19" s="206" t="s">
        <v>204</v>
      </c>
      <c r="M19" s="207" t="s">
        <v>205</v>
      </c>
      <c r="N19" s="206" t="s">
        <v>204</v>
      </c>
      <c r="O19" s="207" t="s">
        <v>205</v>
      </c>
      <c r="S19" s="282" t="s">
        <v>291</v>
      </c>
      <c r="T19" s="107">
        <v>0.39</v>
      </c>
    </row>
    <row r="20" spans="1:20" x14ac:dyDescent="0.25">
      <c r="A20" s="107" t="str">
        <f>IF(AND(OR('Stream Parts I-II'!H7=B14,'Stream Parts I-II'!H7=B15),'Stream Parts I-II'!H8&lt;=4), "No HGM",IF(AND('Stream Parts I-II'!H7=B16,'Stream Parts I-II'!H8&gt;4),"No HGM","HGM OK"))</f>
        <v>No HGM</v>
      </c>
      <c r="B20" s="350" t="s">
        <v>144</v>
      </c>
      <c r="D20" s="1044" t="s">
        <v>372</v>
      </c>
      <c r="E20" s="409" t="s">
        <v>177</v>
      </c>
      <c r="F20" s="406" t="str">
        <f>IF('Stream Parts I-II'!$C7=$B$13,$B$13,IF(AND('Stream Parts I-II'!$C7&lt;&gt;$B$13,'Stream Parts I-II'!$AD36=FALSE,'Stream Parts I-II'!$AD35=FALSE),"Assumed Value = 30 pts",IF('Stream Parts I-II'!$E45="","Enter a number 0 or greater.",IF(AND('Stream Parts I-II'!$E45&gt;=0,'Stream Parts I-II'!$E45&lt;4),"&lt;4 = 0 points",IF(AND('Stream Parts I-II'!$E45&gt;=4,'Stream Parts I-II'!$E45&lt;5),"4-4.9 = 10 points",IF(AND('Stream Parts I-II'!$E45&gt;=5,'Stream Parts I-II'!$E45&lt;6),"5-5.9 = 20 points",IF(AND('Stream Parts I-II'!$E45&gt;=6,'Stream Parts I-II'!$E45&lt;11),"6-10.9 = 30 points",IF('Stream Parts I-II'!$E45&gt;=11,"11 or greater = 10 points","Check Data"))))))))</f>
        <v>Assumed Value = 30 pts</v>
      </c>
      <c r="G20" s="407">
        <f>IF('Stream Parts I-II'!$B45="Assumed Value = 30 pts",30,IF('Stream Parts I-II'!$E45="","",IF(AND('Stream Parts I-II'!$E45&gt;=0,'Stream Parts I-II'!$E45&lt;4),0,IF(AND('Stream Parts I-II'!$E45&gt;=4,'Stream Parts I-II'!$E45&lt;5),10,IF(AND('Stream Parts I-II'!$E45&gt;=5,'Stream Parts I-II'!$E45&lt;6),20,IF(AND('Stream Parts I-II'!$E45&gt;=6,'Stream Parts I-II'!$E45&lt;11),30,IF('Stream Parts I-II'!$E45&gt;=11,10,"Check Data")))))))</f>
        <v>30</v>
      </c>
      <c r="H20" s="406" t="str">
        <f>IF('Stream Parts I-II'!$H7=$B$13,$B$13,IF('Stream Parts I-II'!$J45="","Enter a number 0 or greater.",IF(AND('Stream Parts I-II'!$J45&gt;=0,'Stream Parts I-II'!$J45&lt;4),"&lt;4 = 0 points",IF(AND('Stream Parts I-II'!$J45&gt;=4,'Stream Parts I-II'!$J45&lt;5),"4-4.9 = 10 points",IF(AND('Stream Parts I-II'!$J45&gt;=5,'Stream Parts I-II'!$J45&lt;6),"5-5.9 = 20 points",IF(AND('Stream Parts I-II'!$J45&gt;=6,'Stream Parts I-II'!$J45&lt;11),"6-10.9 = 30 points",IF('Stream Parts I-II'!$J45&gt;=11,"11 or greater = 10 points","Check Data")))))))</f>
        <v>4-4.9 = 10 points</v>
      </c>
      <c r="I20" s="407">
        <f>IF('Stream Parts I-II'!$J45="","",IF(AND('Stream Parts I-II'!$J45&gt;=0,'Stream Parts I-II'!$J45&lt;4),0,IF(AND('Stream Parts I-II'!$J45&gt;=4,'Stream Parts I-II'!$J45&lt;5),10,IF(AND('Stream Parts I-II'!$J45&gt;=5,'Stream Parts I-II'!$J45&lt;6),20,IF(AND('Stream Parts I-II'!$J45&gt;=6,'Stream Parts I-II'!$J45&lt;11),30,IF('Stream Parts I-II'!$J45&gt;=11,10,"Check Data"))))))</f>
        <v>10</v>
      </c>
      <c r="J20" s="406" t="str">
        <f>IF('Stream Parts I-II'!$H7=$B$13,$B$13,IF('Stream Parts I-II'!$P45="","Enter a number 0 or greater.",IF(AND('Stream Parts I-II'!$P45&gt;=0,'Stream Parts I-II'!$P45&lt;4),"&lt;4 = 0 points",IF(AND('Stream Parts I-II'!$P45&gt;=4,'Stream Parts I-II'!$P45&lt;5),"4-4.9 = 10 points",IF(AND('Stream Parts I-II'!$P45&gt;=5,'Stream Parts I-II'!$P45&lt;6),"5-5.9 = 20 points",IF(AND('Stream Parts I-II'!$P45&gt;=6,'Stream Parts I-II'!$P45&lt;11),"6-10.9 = 30 points",IF('Stream Parts I-II'!$P45&gt;=11,"11 or greater = 10 points","Check Data")))))))</f>
        <v>5-5.9 = 20 points</v>
      </c>
      <c r="K20" s="407">
        <f>IF('Stream Parts I-II'!$M45="Assumed Value = 30 pts",30,IF('Stream Parts I-II'!$P45="","",IF(AND('Stream Parts I-II'!$P45&gt;=0,'Stream Parts I-II'!$P45&lt;4),0,IF(AND('Stream Parts I-II'!$P45&gt;=4,'Stream Parts I-II'!$P45&lt;5),10,IF(AND('Stream Parts I-II'!$P45&gt;=5,'Stream Parts I-II'!$P45&lt;6),20,IF(AND('Stream Parts I-II'!$P45&gt;=6,'Stream Parts I-II'!$P45&lt;11),30,IF('Stream Parts I-II'!$P45&gt;=11,10,"Check Data")))))))</f>
        <v>20</v>
      </c>
      <c r="L20" s="406" t="str">
        <f>IF('Stream Parts I-II'!$H7=$B$13,$B$13,IF('Stream Parts I-II'!$U45="","Enter a number 0 or greater.",IF(AND('Stream Parts I-II'!$U45&gt;=0,'Stream Parts I-II'!$U45&lt;4),"&lt;4 = 0 points",IF(AND('Stream Parts I-II'!$U45&gt;=4,'Stream Parts I-II'!$U45&lt;5),"4-4.9 = 10 points",IF(AND('Stream Parts I-II'!$U45&gt;=5,'Stream Parts I-II'!$U45&lt;6),"5-5.9 = 20 points",IF(AND('Stream Parts I-II'!$U45&gt;=6,'Stream Parts I-II'!$U45&lt;11),"6-10.9 = 30 points",IF('Stream Parts I-II'!$U45&gt;=11,"11 or greater = 10 points","Check Data")))))))</f>
        <v>6-10.9 = 30 points</v>
      </c>
      <c r="M20" s="407">
        <f>IF('Stream Parts I-II'!$U45="","",IF(AND('Stream Parts I-II'!$U45&gt;=0,'Stream Parts I-II'!$U45&lt;4),0,IF(AND('Stream Parts I-II'!$U45&gt;=4,'Stream Parts I-II'!$U45&lt;5),10,IF(AND('Stream Parts I-II'!$U45&gt;=5,'Stream Parts I-II'!$U45&lt;6),20,IF(AND('Stream Parts I-II'!$U45&gt;=6,'Stream Parts I-II'!$U45&lt;11),30,IF('Stream Parts I-II'!$U45&gt;=11,10,"Check Data"))))))</f>
        <v>30</v>
      </c>
      <c r="N20" s="406" t="str">
        <f>IF('Stream Parts I-II'!$H7=$B$13,$B$13,IF('Stream Parts I-II'!$AA45="","Enter a number 0 or greater.",IF(AND('Stream Parts I-II'!$AA45&gt;=0,'Stream Parts I-II'!$AA45&lt;4),"&lt;4 = 0 points",IF(AND('Stream Parts I-II'!$AA45&gt;=4,'Stream Parts I-II'!$AA45&lt;5),"4-4.9 = 10 points",IF(AND('Stream Parts I-II'!$AA45&gt;=5,'Stream Parts I-II'!$AA45&lt;6),"5-5.9 = 20 points",IF(AND('Stream Parts I-II'!$AA45&gt;=6,'Stream Parts I-II'!$AA45&lt;11),"6-10.9 = 30 points",IF('Stream Parts I-II'!$AA45&gt;=11,"11 or greater = 10 points","Check Data")))))))</f>
        <v>6-10.9 = 30 points</v>
      </c>
      <c r="O20" s="407">
        <f>IF('Stream Parts I-II'!$AA45="","",IF(AND('Stream Parts I-II'!$AA45&gt;=0,'Stream Parts I-II'!$AA45&lt;4),0,IF(AND('Stream Parts I-II'!$AA45&gt;=4,'Stream Parts I-II'!$AA45&lt;5),10,IF(AND('Stream Parts I-II'!$AA45&gt;=5,'Stream Parts I-II'!$AA45&lt;6),20,IF(AND('Stream Parts I-II'!$AA45&gt;=6,'Stream Parts I-II'!$AA45&lt;11),30,IF('Stream Parts I-II'!$AA45&gt;=11,10,"Check Data"))))))</f>
        <v>30</v>
      </c>
      <c r="S20" s="282" t="s">
        <v>292</v>
      </c>
      <c r="T20" s="107">
        <v>0.42</v>
      </c>
    </row>
    <row r="21" spans="1:20" x14ac:dyDescent="0.25">
      <c r="D21" s="1044"/>
      <c r="E21" s="409" t="s">
        <v>178</v>
      </c>
      <c r="F21" s="406" t="str">
        <f>IF('Stream Parts I-II'!$C7=$B$13,$B$13,IF(AND('Stream Parts I-II'!$C7&lt;&gt;$B$13,'Stream Parts I-II'!$AD36=FALSE,'Stream Parts I-II'!$AD35=FALSE),"Assumed Value = 30 pts",IF('Stream Parts I-II'!$E45="","Enter a number 0 or greater.",IF(AND('Stream Parts I-II'!$E45&gt;=0,'Stream Parts I-II'!$E45&lt;4),"&lt;4 = 0 points",IF(AND('Stream Parts I-II'!$E45&gt;=4,'Stream Parts I-II'!$E45&lt;5),"4-4.9 = 10 points",IF(AND('Stream Parts I-II'!$E45&gt;=5,'Stream Parts I-II'!$E45&lt;6),"5-5.9 = 20 points",IF(AND('Stream Parts I-II'!$E45&gt;=6,'Stream Parts I-II'!$E45&lt;11),"6-10.9 = 30 points",IF('Stream Parts I-II'!$E45&gt;=11,"11 or greater = 10 points","Check Data"))))))))</f>
        <v>Assumed Value = 30 pts</v>
      </c>
      <c r="G21" s="407">
        <f>IF('Stream Parts I-II'!$B45="Assumed Value = 30 pts",30,IF('Stream Parts I-II'!$E45="","",IF(AND('Stream Parts I-II'!$E45&gt;=0,'Stream Parts I-II'!$E45&lt;4),0,IF(AND('Stream Parts I-II'!$E45&gt;=4,'Stream Parts I-II'!$E45&lt;5),10,IF(AND('Stream Parts I-II'!$E45&gt;=5,'Stream Parts I-II'!$E45&lt;6),20,IF(AND('Stream Parts I-II'!$E45&gt;=6,'Stream Parts I-II'!$E45&lt;11),30,IF('Stream Parts I-II'!$E45&gt;=11,10,"Check Data")))))))</f>
        <v>30</v>
      </c>
      <c r="H21" s="406" t="str">
        <f>IF('Stream Parts I-II'!$H7=$B$13,$B$13,IF('Stream Parts I-II'!$J45="","Enter a number 0 or greater.",IF(AND('Stream Parts I-II'!$J45&gt;=0,'Stream Parts I-II'!$J45&lt;4),"&lt;4 = 0 points",IF(AND('Stream Parts I-II'!$J45&gt;=4,'Stream Parts I-II'!$J45&lt;5),"4-4.9 = 10 points",IF(AND('Stream Parts I-II'!$J45&gt;=5,'Stream Parts I-II'!$J45&lt;6),"5-5.9 = 20 points",IF(AND('Stream Parts I-II'!$J45&gt;=6,'Stream Parts I-II'!$J45&lt;11),"6-10.9 = 30 points",IF('Stream Parts I-II'!$J45&gt;=11,"11 or greater = 10 points","Check Data")))))))</f>
        <v>4-4.9 = 10 points</v>
      </c>
      <c r="I21" s="407">
        <f>IF('Stream Parts I-II'!$J45="","",IF(AND('Stream Parts I-II'!$J45&gt;=0,'Stream Parts I-II'!$J45&lt;4),0,IF(AND('Stream Parts I-II'!$J45&gt;=4,'Stream Parts I-II'!$J45&lt;5),10,IF(AND('Stream Parts I-II'!$J45&gt;=5,'Stream Parts I-II'!$J45&lt;6),20,IF(AND('Stream Parts I-II'!$J45&gt;=6,'Stream Parts I-II'!$J45&lt;11),30,IF('Stream Parts I-II'!$J45&gt;=11,10,"Check Data"))))))</f>
        <v>10</v>
      </c>
      <c r="J21" s="406" t="str">
        <f>IF('Stream Parts I-II'!$H7=$B$13,$B$13,IF('Stream Parts I-II'!$P45="","Enter a number 0 or greater.",IF(AND('Stream Parts I-II'!$P45&gt;=0,'Stream Parts I-II'!$P45&lt;4),"&lt;4 = 0 points",IF(AND('Stream Parts I-II'!$P45&gt;=4,'Stream Parts I-II'!$P45&lt;5),"4-4.9 = 10 points",IF(AND('Stream Parts I-II'!$P45&gt;=5,'Stream Parts I-II'!$P45&lt;6),"5-5.9 = 20 points",IF(AND('Stream Parts I-II'!$P45&gt;=6,'Stream Parts I-II'!$P45&lt;11),"6-10.9 = 30 points",IF('Stream Parts I-II'!$P45&gt;=11,"11 or greater = 10 points","Check Data")))))))</f>
        <v>5-5.9 = 20 points</v>
      </c>
      <c r="K21" s="407">
        <f>IF('Stream Parts I-II'!$M45="Assumed Value = 30 pts",30,IF('Stream Parts I-II'!$P45="","",IF(AND('Stream Parts I-II'!$P45&gt;=0,'Stream Parts I-II'!$P45&lt;4),0,IF(AND('Stream Parts I-II'!$P45&gt;=4,'Stream Parts I-II'!$P45&lt;5),10,IF(AND('Stream Parts I-II'!$P45&gt;=5,'Stream Parts I-II'!$P45&lt;6),20,IF(AND('Stream Parts I-II'!$P45&gt;=6,'Stream Parts I-II'!$P45&lt;11),30,IF('Stream Parts I-II'!$P45&gt;=11,10,"Check Data")))))))</f>
        <v>20</v>
      </c>
      <c r="L21" s="406" t="str">
        <f>IF('Stream Parts I-II'!$H7=$B$13,$B$13,IF('Stream Parts I-II'!$U45="","Enter a number 0 or greater.",IF(AND('Stream Parts I-II'!$U45&gt;=0,'Stream Parts I-II'!$U45&lt;4),"&lt;4 = 0 points",IF(AND('Stream Parts I-II'!$U45&gt;=4,'Stream Parts I-II'!$U45&lt;5),"4-4.9 = 10 points",IF(AND('Stream Parts I-II'!$U45&gt;=5,'Stream Parts I-II'!$U45&lt;6),"5-5.9 = 20 points",IF(AND('Stream Parts I-II'!$U45&gt;=6,'Stream Parts I-II'!$U45&lt;11),"6-10.9 = 30 points",IF('Stream Parts I-II'!$U45&gt;=11,"11 or greater = 10 points","Check Data")))))))</f>
        <v>6-10.9 = 30 points</v>
      </c>
      <c r="M21" s="407">
        <f>IF('Stream Parts I-II'!$U45="","",IF(AND('Stream Parts I-II'!$U45&gt;=0,'Stream Parts I-II'!$U45&lt;4),0,IF(AND('Stream Parts I-II'!$U45&gt;=4,'Stream Parts I-II'!$U45&lt;5),10,IF(AND('Stream Parts I-II'!$U45&gt;=5,'Stream Parts I-II'!$U45&lt;6),20,IF(AND('Stream Parts I-II'!$U45&gt;=6,'Stream Parts I-II'!$U45&lt;11),30,IF('Stream Parts I-II'!$U45&gt;=11,10,"Check Data"))))))</f>
        <v>30</v>
      </c>
      <c r="N21" s="406" t="str">
        <f>IF('Stream Parts I-II'!$H7=$B$13,$B$13,IF('Stream Parts I-II'!$AA45="","Enter a number 0 or greater.",IF(AND('Stream Parts I-II'!$AA45&gt;=0,'Stream Parts I-II'!$AA45&lt;4),"&lt;4 = 0 points",IF(AND('Stream Parts I-II'!$AA45&gt;=4,'Stream Parts I-II'!$AA45&lt;5),"4-4.9 = 10 points",IF(AND('Stream Parts I-II'!$AA45&gt;=5,'Stream Parts I-II'!$AA45&lt;6),"5-5.9 = 20 points",IF(AND('Stream Parts I-II'!$AA45&gt;=6,'Stream Parts I-II'!$AA45&lt;11),"6-10.9 = 30 points",IF('Stream Parts I-II'!$AA45&gt;=11,"11 or greater = 10 points","Check Data")))))))</f>
        <v>6-10.9 = 30 points</v>
      </c>
      <c r="O21" s="407">
        <f>IF('Stream Parts I-II'!$AA45="","",IF(AND('Stream Parts I-II'!$AA45&gt;=0,'Stream Parts I-II'!$AA45&lt;4),0,IF(AND('Stream Parts I-II'!$AA45&gt;=4,'Stream Parts I-II'!$AA45&lt;5),10,IF(AND('Stream Parts I-II'!$AA45&gt;=5,'Stream Parts I-II'!$AA45&lt;6),20,IF(AND('Stream Parts I-II'!$AA45&gt;=6,'Stream Parts I-II'!$AA45&lt;11),30,IF('Stream Parts I-II'!$AA45&gt;=11,10,"Check Data"))))))</f>
        <v>30</v>
      </c>
      <c r="S21" s="282" t="s">
        <v>293</v>
      </c>
      <c r="T21" s="107">
        <v>0.45</v>
      </c>
    </row>
    <row r="22" spans="1:20" x14ac:dyDescent="0.25">
      <c r="B22" s="550" t="s">
        <v>188</v>
      </c>
      <c r="C22" s="534"/>
      <c r="D22" s="1044"/>
      <c r="E22" s="409" t="s">
        <v>179</v>
      </c>
      <c r="F22" s="406" t="str">
        <f>IF('Stream Parts I-II'!$C7=$B$13,$B$13,IF(AND('Stream Parts I-II'!$C7&lt;&gt;$B$13,'Stream Parts I-II'!$AD36=FALSE,'Stream Parts I-II'!$AD35=FALSE),"Assumed Value = 30 pts",IF('Stream Parts I-II'!$E45="","Enter a number 0 or greater.",IF(AND('Stream Parts I-II'!$E45&gt;=0,'Stream Parts I-II'!$E45&lt;4),"&lt;4 = 0 points",IF(AND('Stream Parts I-II'!$E45&gt;=4,'Stream Parts I-II'!$E45&lt;5),"4-4.9 = 10 points",IF(AND('Stream Parts I-II'!$E45&gt;=5,'Stream Parts I-II'!$E45&lt;6),"5-5.9 = 20 points",IF(AND('Stream Parts I-II'!$E45&gt;=6,'Stream Parts I-II'!$E45&lt;11),"6-10.9 = 30 points",IF('Stream Parts I-II'!$E45&gt;=11,"11 or greater = 10 points","Check Data"))))))))</f>
        <v>Assumed Value = 30 pts</v>
      </c>
      <c r="G22" s="407">
        <f>IF('Stream Parts I-II'!$B45="Assumed Value = 30 pts",30,IF('Stream Parts I-II'!$E45="","",IF(AND('Stream Parts I-II'!$E45&gt;=0,'Stream Parts I-II'!$E45&lt;4),0,IF(AND('Stream Parts I-II'!$E45&gt;=4,'Stream Parts I-II'!$E45&lt;5),10,IF(AND('Stream Parts I-II'!$E45&gt;=5,'Stream Parts I-II'!$E45&lt;6),20,IF(AND('Stream Parts I-II'!$E45&gt;=6,'Stream Parts I-II'!$E45&lt;11),30,IF('Stream Parts I-II'!$E45&gt;=11,10,"Check Data")))))))</f>
        <v>30</v>
      </c>
      <c r="H22" s="406" t="str">
        <f>IF('Stream Parts I-II'!$H7=$B$13,$B$13,IF('Stream Parts I-II'!$J45="","Enter a number 0 or greater.",IF(AND('Stream Parts I-II'!$J45&gt;=0,'Stream Parts I-II'!$J45&lt;4),"&lt;4 = 0 points",IF(AND('Stream Parts I-II'!$J45&gt;=4,'Stream Parts I-II'!$J45&lt;5),"4-4.9 = 10 points",IF(AND('Stream Parts I-II'!$J45&gt;=5,'Stream Parts I-II'!$J45&lt;6),"5-5.9 = 20 points",IF(AND('Stream Parts I-II'!$J45&gt;=6,'Stream Parts I-II'!$J45&lt;11),"6-10.9 = 30 points",IF('Stream Parts I-II'!$J45&gt;=11,"11 or greater = 10 points","Check Data")))))))</f>
        <v>4-4.9 = 10 points</v>
      </c>
      <c r="I22" s="407">
        <f>IF('Stream Parts I-II'!$J45="","",IF(AND('Stream Parts I-II'!$J45&gt;=0,'Stream Parts I-II'!$J45&lt;4),0,IF(AND('Stream Parts I-II'!$J45&gt;=4,'Stream Parts I-II'!$J45&lt;5),10,IF(AND('Stream Parts I-II'!$J45&gt;=5,'Stream Parts I-II'!$J45&lt;6),20,IF(AND('Stream Parts I-II'!$J45&gt;=6,'Stream Parts I-II'!$J45&lt;11),30,IF('Stream Parts I-II'!$J45&gt;=11,10,"Check Data"))))))</f>
        <v>10</v>
      </c>
      <c r="J22" s="406" t="str">
        <f>IF('Stream Parts I-II'!$H7=$B$13,$B$13,IF('Stream Parts I-II'!$P45="","Enter a number 0 or greater.",IF(AND('Stream Parts I-II'!$P45&gt;=0,'Stream Parts I-II'!$P45&lt;4),"&lt;4 = 0 points",IF(AND('Stream Parts I-II'!$P45&gt;=4,'Stream Parts I-II'!$P45&lt;5),"4-4.9 = 10 points",IF(AND('Stream Parts I-II'!$P45&gt;=5,'Stream Parts I-II'!$P45&lt;6),"5-5.9 = 20 points",IF(AND('Stream Parts I-II'!$P45&gt;=6,'Stream Parts I-II'!$P45&lt;11),"6-10.9 = 30 points",IF('Stream Parts I-II'!$P45&gt;=11,"11 or greater = 10 points","Check Data")))))))</f>
        <v>5-5.9 = 20 points</v>
      </c>
      <c r="K22" s="407">
        <f>IF('Stream Parts I-II'!$M45="Assumed Value = 30 pts",30,IF('Stream Parts I-II'!$P45="","",IF(AND('Stream Parts I-II'!$P45&gt;=0,'Stream Parts I-II'!$P45&lt;4),0,IF(AND('Stream Parts I-II'!$P45&gt;=4,'Stream Parts I-II'!$P45&lt;5),10,IF(AND('Stream Parts I-II'!$P45&gt;=5,'Stream Parts I-II'!$P45&lt;6),20,IF(AND('Stream Parts I-II'!$P45&gt;=6,'Stream Parts I-II'!$P45&lt;11),30,IF('Stream Parts I-II'!$P45&gt;=11,10,"Check Data")))))))</f>
        <v>20</v>
      </c>
      <c r="L22" s="406" t="str">
        <f>IF('Stream Parts I-II'!$H7=$B$13,$B$13,IF('Stream Parts I-II'!$U45="","Enter a number 0 or greater.",IF(AND('Stream Parts I-II'!$U45&gt;=0,'Stream Parts I-II'!$U45&lt;4),"&lt;4 = 0 points",IF(AND('Stream Parts I-II'!$U45&gt;=4,'Stream Parts I-II'!$U45&lt;5),"4-4.9 = 10 points",IF(AND('Stream Parts I-II'!$U45&gt;=5,'Stream Parts I-II'!$U45&lt;6),"5-5.9 = 20 points",IF(AND('Stream Parts I-II'!$U45&gt;=6,'Stream Parts I-II'!$U45&lt;11),"6-10.9 = 30 points",IF('Stream Parts I-II'!$U45&gt;=11,"11 or greater = 10 points","Check Data")))))))</f>
        <v>6-10.9 = 30 points</v>
      </c>
      <c r="M22" s="407">
        <f>IF('Stream Parts I-II'!$U45="","",IF(AND('Stream Parts I-II'!$U45&gt;=0,'Stream Parts I-II'!$U45&lt;4),0,IF(AND('Stream Parts I-II'!$U45&gt;=4,'Stream Parts I-II'!$U45&lt;5),10,IF(AND('Stream Parts I-II'!$U45&gt;=5,'Stream Parts I-II'!$U45&lt;6),20,IF(AND('Stream Parts I-II'!$U45&gt;=6,'Stream Parts I-II'!$U45&lt;11),30,IF('Stream Parts I-II'!$U45&gt;=11,10,"Check Data"))))))</f>
        <v>30</v>
      </c>
      <c r="N22" s="406" t="str">
        <f>IF('Stream Parts I-II'!$H7=$B$13,$B$13,IF('Stream Parts I-II'!$AA45="","Enter a number 0 or greater.",IF(AND('Stream Parts I-II'!$AA45&gt;=0,'Stream Parts I-II'!$AA45&lt;4),"&lt;4 = 0 points",IF(AND('Stream Parts I-II'!$AA45&gt;=4,'Stream Parts I-II'!$AA45&lt;5),"4-4.9 = 10 points",IF(AND('Stream Parts I-II'!$AA45&gt;=5,'Stream Parts I-II'!$AA45&lt;6),"5-5.9 = 20 points",IF(AND('Stream Parts I-II'!$AA45&gt;=6,'Stream Parts I-II'!$AA45&lt;11),"6-10.9 = 30 points",IF('Stream Parts I-II'!$AA45&gt;=11,"11 or greater = 10 points","Check Data")))))))</f>
        <v>6-10.9 = 30 points</v>
      </c>
      <c r="O22" s="407">
        <f>IF('Stream Parts I-II'!$AA45="","",IF(AND('Stream Parts I-II'!$AA45&gt;=0,'Stream Parts I-II'!$AA45&lt;4),0,IF(AND('Stream Parts I-II'!$AA45&gt;=4,'Stream Parts I-II'!$AA45&lt;5),10,IF(AND('Stream Parts I-II'!$AA45&gt;=5,'Stream Parts I-II'!$AA45&lt;6),20,IF(AND('Stream Parts I-II'!$AA45&gt;=6,'Stream Parts I-II'!$AA45&lt;11),30,IF('Stream Parts I-II'!$AA45&gt;=11,10,"Check Data"))))))</f>
        <v>30</v>
      </c>
      <c r="S22" s="282" t="s">
        <v>294</v>
      </c>
      <c r="T22" s="107">
        <v>0.48</v>
      </c>
    </row>
    <row r="23" spans="1:20" x14ac:dyDescent="0.25">
      <c r="B23" s="551" t="s">
        <v>165</v>
      </c>
      <c r="C23" s="534"/>
      <c r="D23" s="1044"/>
      <c r="E23" s="409" t="s">
        <v>180</v>
      </c>
      <c r="F23" s="406" t="str">
        <f>IF('Stream Parts I-II'!$C7=$B$13,$B$13,IF(AND('Stream Parts I-II'!$C7&lt;&gt;$B$13,'Stream Parts I-II'!$AD36=FALSE,'Stream Parts I-II'!$AD35=FALSE),"Assumed Value = 30 pts",IF('Stream Parts I-II'!$E45="","Enter a number 0 or greater.",IF(AND('Stream Parts I-II'!$E45&gt;=0,'Stream Parts I-II'!$E45&lt;4),"&lt;4 = 0 points",IF(AND('Stream Parts I-II'!$E45&gt;=4,'Stream Parts I-II'!$E45&lt;5),"4-4.9 = 10 points",IF(AND('Stream Parts I-II'!$E45&gt;=5,'Stream Parts I-II'!$E45&lt;6),"5-5.9 = 20 points",IF(AND('Stream Parts I-II'!$E45&gt;=6,'Stream Parts I-II'!$E45&lt;11),"6-10.9 = 30 points",IF('Stream Parts I-II'!$E45&gt;=11,"11 or greater = 10 points","Check Data"))))))))</f>
        <v>Assumed Value = 30 pts</v>
      </c>
      <c r="G23" s="407">
        <f>IF('Stream Parts I-II'!$B45="Assumed Value = 30 pts",30,IF('Stream Parts I-II'!$E45="","",IF(AND('Stream Parts I-II'!$E45&gt;=0,'Stream Parts I-II'!$E45&lt;4),0,IF(AND('Stream Parts I-II'!$E45&gt;=4,'Stream Parts I-II'!$E45&lt;5),10,IF(AND('Stream Parts I-II'!$E45&gt;=5,'Stream Parts I-II'!$E45&lt;6),20,IF(AND('Stream Parts I-II'!$E45&gt;=6,'Stream Parts I-II'!$E45&lt;11),30,IF('Stream Parts I-II'!$E45&gt;=11,10,"Check Data")))))))</f>
        <v>30</v>
      </c>
      <c r="H23" s="406" t="str">
        <f>IF('Stream Parts I-II'!$H7=$B$13,$B$13,IF('Stream Parts I-II'!$J45="","Enter a number 0 or greater.",IF(AND('Stream Parts I-II'!$J45&gt;=0,'Stream Parts I-II'!$J45&lt;4),"&lt;4 = 0 points",IF(AND('Stream Parts I-II'!$J45&gt;=4,'Stream Parts I-II'!$J45&lt;5),"4-4.9 = 10 points",IF(AND('Stream Parts I-II'!$J45&gt;=5,'Stream Parts I-II'!$J45&lt;6),"5-5.9 = 20 points",IF(AND('Stream Parts I-II'!$J45&gt;=6,'Stream Parts I-II'!$J45&lt;11),"6-10.9 = 30 points",IF('Stream Parts I-II'!$J45&gt;=11,"11 or greater = 10 points","Check Data")))))))</f>
        <v>4-4.9 = 10 points</v>
      </c>
      <c r="I23" s="407">
        <f>IF('Stream Parts I-II'!$J45="","",IF(AND('Stream Parts I-II'!$J45&gt;=0,'Stream Parts I-II'!$J45&lt;4),0,IF(AND('Stream Parts I-II'!$J45&gt;=4,'Stream Parts I-II'!$J45&lt;5),10,IF(AND('Stream Parts I-II'!$J45&gt;=5,'Stream Parts I-II'!$J45&lt;6),20,IF(AND('Stream Parts I-II'!$J45&gt;=6,'Stream Parts I-II'!$J45&lt;11),30,IF('Stream Parts I-II'!$J45&gt;=11,10,"Check Data"))))))</f>
        <v>10</v>
      </c>
      <c r="J23" s="406" t="str">
        <f>IF('Stream Parts I-II'!$H7=$B$13,$B$13,IF('Stream Parts I-II'!$P45="","Enter a number 0 or greater.",IF(AND('Stream Parts I-II'!$P45&gt;=0,'Stream Parts I-II'!$P45&lt;4),"&lt;4 = 0 points",IF(AND('Stream Parts I-II'!$P45&gt;=4,'Stream Parts I-II'!$P45&lt;5),"4-4.9 = 10 points",IF(AND('Stream Parts I-II'!$P45&gt;=5,'Stream Parts I-II'!$P45&lt;6),"5-5.9 = 20 points",IF(AND('Stream Parts I-II'!$P45&gt;=6,'Stream Parts I-II'!$P45&lt;11),"6-10.9 = 30 points",IF('Stream Parts I-II'!$P45&gt;=11,"11 or greater = 10 points","Check Data")))))))</f>
        <v>5-5.9 = 20 points</v>
      </c>
      <c r="K23" s="407">
        <f>IF('Stream Parts I-II'!$M45="Assumed Value = 30 pts",30,IF('Stream Parts I-II'!$P45="","",IF(AND('Stream Parts I-II'!$P45&gt;=0,'Stream Parts I-II'!$P45&lt;4),0,IF(AND('Stream Parts I-II'!$P45&gt;=4,'Stream Parts I-II'!$P45&lt;5),10,IF(AND('Stream Parts I-II'!$P45&gt;=5,'Stream Parts I-II'!$P45&lt;6),20,IF(AND('Stream Parts I-II'!$P45&gt;=6,'Stream Parts I-II'!$P45&lt;11),30,IF('Stream Parts I-II'!$P45&gt;=11,10,"Check Data")))))))</f>
        <v>20</v>
      </c>
      <c r="L23" s="406" t="str">
        <f>IF('Stream Parts I-II'!$H7=$B$13,$B$13,IF('Stream Parts I-II'!$U45="","Enter a number 0 or greater.",IF(AND('Stream Parts I-II'!$U45&gt;=0,'Stream Parts I-II'!$U45&lt;4),"&lt;4 = 0 points",IF(AND('Stream Parts I-II'!$U45&gt;=4,'Stream Parts I-II'!$U45&lt;5),"4-4.9 = 10 points",IF(AND('Stream Parts I-II'!$U45&gt;=5,'Stream Parts I-II'!$U45&lt;6),"5-5.9 = 20 points",IF(AND('Stream Parts I-II'!$U45&gt;=6,'Stream Parts I-II'!$U45&lt;11),"6-10.9 = 30 points",IF('Stream Parts I-II'!$U45&gt;=11,"11 or greater = 10 points","Check Data")))))))</f>
        <v>6-10.9 = 30 points</v>
      </c>
      <c r="M23" s="407">
        <f>IF('Stream Parts I-II'!$U45="","",IF(AND('Stream Parts I-II'!$U45&gt;=0,'Stream Parts I-II'!$U45&lt;4),0,IF(AND('Stream Parts I-II'!$U45&gt;=4,'Stream Parts I-II'!$U45&lt;5),10,IF(AND('Stream Parts I-II'!$U45&gt;=5,'Stream Parts I-II'!$U45&lt;6),20,IF(AND('Stream Parts I-II'!$U45&gt;=6,'Stream Parts I-II'!$U45&lt;11),30,IF('Stream Parts I-II'!$U45&gt;=11,10,"Check Data"))))))</f>
        <v>30</v>
      </c>
      <c r="N23" s="406" t="str">
        <f>IF('Stream Parts I-II'!$H7=$B$13,$B$13,IF('Stream Parts I-II'!$AA45="","Enter a number 0 or greater.",IF(AND('Stream Parts I-II'!$AA45&gt;=0,'Stream Parts I-II'!$AA45&lt;4),"&lt;4 = 0 points",IF(AND('Stream Parts I-II'!$AA45&gt;=4,'Stream Parts I-II'!$AA45&lt;5),"4-4.9 = 10 points",IF(AND('Stream Parts I-II'!$AA45&gt;=5,'Stream Parts I-II'!$AA45&lt;6),"5-5.9 = 20 points",IF(AND('Stream Parts I-II'!$AA45&gt;=6,'Stream Parts I-II'!$AA45&lt;11),"6-10.9 = 30 points",IF('Stream Parts I-II'!$AA45&gt;=11,"11 or greater = 10 points","Check Data")))))))</f>
        <v>6-10.9 = 30 points</v>
      </c>
      <c r="O23" s="407">
        <f>IF('Stream Parts I-II'!$AA45="","",IF(AND('Stream Parts I-II'!$AA45&gt;=0,'Stream Parts I-II'!$AA45&lt;4),0,IF(AND('Stream Parts I-II'!$AA45&gt;=4,'Stream Parts I-II'!$AA45&lt;5),10,IF(AND('Stream Parts I-II'!$AA45&gt;=5,'Stream Parts I-II'!$AA45&lt;6),20,IF(AND('Stream Parts I-II'!$AA45&gt;=6,'Stream Parts I-II'!$AA45&lt;11),30,IF('Stream Parts I-II'!$AA45&gt;=11,10,"Check Data"))))))</f>
        <v>30</v>
      </c>
      <c r="S23" s="282" t="s">
        <v>295</v>
      </c>
      <c r="T23" s="107">
        <v>0.51</v>
      </c>
    </row>
    <row r="24" spans="1:20" x14ac:dyDescent="0.25">
      <c r="B24" s="408" t="s">
        <v>187</v>
      </c>
      <c r="C24" s="534"/>
      <c r="D24" s="1044"/>
      <c r="E24" s="409" t="s">
        <v>181</v>
      </c>
      <c r="F24" s="406" t="str">
        <f>IF('Stream Parts I-II'!$C7=$B$13,$B$13,IF(AND('Stream Parts I-II'!$C7&lt;&gt;$B$13,'Stream Parts I-II'!$AD36=FALSE,'Stream Parts I-II'!$AD35=FALSE),"Assumed Value = 30 pts",IF('Stream Parts I-II'!$E45="","Enter a number 0 or greater.",IF(AND('Stream Parts I-II'!$E45&gt;=0,'Stream Parts I-II'!$E45&lt;4),"&lt;4 = 0 points",IF(AND('Stream Parts I-II'!$E45&gt;=4,'Stream Parts I-II'!$E45&lt;5),"4-4.9 = 10 points",IF(AND('Stream Parts I-II'!$E45&gt;=5,'Stream Parts I-II'!$E45&lt;6),"5-5.9 = 20 points",IF(AND('Stream Parts I-II'!$E45&gt;=6,'Stream Parts I-II'!$E45&lt;11),"6-10.9 = 30 points",IF('Stream Parts I-II'!$E45&gt;=11,"11 or greater = 10 points","Check Data"))))))))</f>
        <v>Assumed Value = 30 pts</v>
      </c>
      <c r="G24" s="407">
        <f>IF('Stream Parts I-II'!$B45="Assumed Value = 30 pts",30,IF('Stream Parts I-II'!$E45="","",IF(AND('Stream Parts I-II'!$E45&gt;=0,'Stream Parts I-II'!$E45&lt;4),0,IF(AND('Stream Parts I-II'!$E45&gt;=4,'Stream Parts I-II'!$E45&lt;5),10,IF(AND('Stream Parts I-II'!$E45&gt;=5,'Stream Parts I-II'!$E45&lt;6),20,IF(AND('Stream Parts I-II'!$E45&gt;=6,'Stream Parts I-II'!$E45&lt;11),30,IF('Stream Parts I-II'!$E45&gt;=11,10,"Check Data")))))))</f>
        <v>30</v>
      </c>
      <c r="H24" s="406" t="str">
        <f>IF('Stream Parts I-II'!$H7=$B$13,$B$13,IF('Stream Parts I-II'!$J45="","Enter a number 0 or greater.",IF(AND('Stream Parts I-II'!$J45&gt;=0,'Stream Parts I-II'!$J45&lt;4),"&lt;4 = 0 points",IF(AND('Stream Parts I-II'!$J45&gt;=4,'Stream Parts I-II'!$J45&lt;5),"4-4.9 = 10 points",IF(AND('Stream Parts I-II'!$J45&gt;=5,'Stream Parts I-II'!$J45&lt;6),"5-5.9 = 20 points",IF(AND('Stream Parts I-II'!$J45&gt;=6,'Stream Parts I-II'!$J45&lt;11),"6-10.9 = 30 points",IF('Stream Parts I-II'!$J45&gt;=11,"11 or greater = 10 points","Check Data")))))))</f>
        <v>4-4.9 = 10 points</v>
      </c>
      <c r="I24" s="407">
        <f>IF('Stream Parts I-II'!$J45="","",IF(AND('Stream Parts I-II'!$J45&gt;=0,'Stream Parts I-II'!$J45&lt;4),0,IF(AND('Stream Parts I-II'!$J45&gt;=4,'Stream Parts I-II'!$J45&lt;5),10,IF(AND('Stream Parts I-II'!$J45&gt;=5,'Stream Parts I-II'!$J45&lt;6),20,IF(AND('Stream Parts I-II'!$J45&gt;=6,'Stream Parts I-II'!$J45&lt;11),30,IF('Stream Parts I-II'!$J45&gt;=11,10,"Check Data"))))))</f>
        <v>10</v>
      </c>
      <c r="J24" s="406" t="str">
        <f>IF('Stream Parts I-II'!$H7=$B$13,$B$13,IF('Stream Parts I-II'!$P45="","Enter a number 0 or greater.",IF(AND('Stream Parts I-II'!$P45&gt;=0,'Stream Parts I-II'!$P45&lt;4),"&lt;4 = 0 points",IF(AND('Stream Parts I-II'!$P45&gt;=4,'Stream Parts I-II'!$P45&lt;5),"4-4.9 = 10 points",IF(AND('Stream Parts I-II'!$P45&gt;=5,'Stream Parts I-II'!$P45&lt;6),"5-5.9 = 20 points",IF(AND('Stream Parts I-II'!$P45&gt;=6,'Stream Parts I-II'!$P45&lt;11),"6-10.9 = 30 points",IF('Stream Parts I-II'!$P45&gt;=11,"11 or greater = 10 points","Check Data")))))))</f>
        <v>5-5.9 = 20 points</v>
      </c>
      <c r="K24" s="407">
        <f>IF('Stream Parts I-II'!$M45="Assumed Value = 30 pts",30,IF('Stream Parts I-II'!$P45="","",IF(AND('Stream Parts I-II'!$P45&gt;=0,'Stream Parts I-II'!$P45&lt;4),0,IF(AND('Stream Parts I-II'!$P45&gt;=4,'Stream Parts I-II'!$P45&lt;5),10,IF(AND('Stream Parts I-II'!$P45&gt;=5,'Stream Parts I-II'!$P45&lt;6),20,IF(AND('Stream Parts I-II'!$P45&gt;=6,'Stream Parts I-II'!$P45&lt;11),30,IF('Stream Parts I-II'!$P45&gt;=11,10,"Check Data")))))))</f>
        <v>20</v>
      </c>
      <c r="L24" s="406" t="str">
        <f>IF('Stream Parts I-II'!$H7=$B$13,$B$13,IF('Stream Parts I-II'!$U45="","Enter a number 0 or greater.",IF(AND('Stream Parts I-II'!$U45&gt;=0,'Stream Parts I-II'!$U45&lt;4),"&lt;4 = 0 points",IF(AND('Stream Parts I-II'!$U45&gt;=4,'Stream Parts I-II'!$U45&lt;5),"4-4.9 = 10 points",IF(AND('Stream Parts I-II'!$U45&gt;=5,'Stream Parts I-II'!$U45&lt;6),"5-5.9 = 20 points",IF(AND('Stream Parts I-II'!$U45&gt;=6,'Stream Parts I-II'!$U45&lt;11),"6-10.9 = 30 points",IF('Stream Parts I-II'!$U45&gt;=11,"11 or greater = 10 points","Check Data")))))))</f>
        <v>6-10.9 = 30 points</v>
      </c>
      <c r="M24" s="407">
        <f>IF('Stream Parts I-II'!$U45="","",IF(AND('Stream Parts I-II'!$U45&gt;=0,'Stream Parts I-II'!$U45&lt;4),0,IF(AND('Stream Parts I-II'!$U45&gt;=4,'Stream Parts I-II'!$U45&lt;5),10,IF(AND('Stream Parts I-II'!$U45&gt;=5,'Stream Parts I-II'!$U45&lt;6),20,IF(AND('Stream Parts I-II'!$U45&gt;=6,'Stream Parts I-II'!$U45&lt;11),30,IF('Stream Parts I-II'!$U45&gt;=11,10,"Check Data"))))))</f>
        <v>30</v>
      </c>
      <c r="N24" s="406" t="str">
        <f>IF('Stream Parts I-II'!$H7=$B$13,$B$13,IF('Stream Parts I-II'!$AA45="","Enter a number 0 or greater.",IF(AND('Stream Parts I-II'!$AA45&gt;=0,'Stream Parts I-II'!$AA45&lt;4),"&lt;4 = 0 points",IF(AND('Stream Parts I-II'!$AA45&gt;=4,'Stream Parts I-II'!$AA45&lt;5),"4-4.9 = 10 points",IF(AND('Stream Parts I-II'!$AA45&gt;=5,'Stream Parts I-II'!$AA45&lt;6),"5-5.9 = 20 points",IF(AND('Stream Parts I-II'!$AA45&gt;=6,'Stream Parts I-II'!$AA45&lt;11),"6-10.9 = 30 points",IF('Stream Parts I-II'!$AA45&gt;=11,"11 or greater = 10 points","Check Data")))))))</f>
        <v>6-10.9 = 30 points</v>
      </c>
      <c r="O24" s="407">
        <f>IF('Stream Parts I-II'!$AA45="","",IF(AND('Stream Parts I-II'!$AA45&gt;=0,'Stream Parts I-II'!$AA45&lt;4),0,IF(AND('Stream Parts I-II'!$AA45&gt;=4,'Stream Parts I-II'!$AA45&lt;5),10,IF(AND('Stream Parts I-II'!$AA45&gt;=5,'Stream Parts I-II'!$AA45&lt;6),20,IF(AND('Stream Parts I-II'!$AA45&gt;=6,'Stream Parts I-II'!$AA45&lt;11),30,IF('Stream Parts I-II'!$AA45&gt;=11,10,"Check Data"))))))</f>
        <v>30</v>
      </c>
      <c r="S24" s="282" t="s">
        <v>296</v>
      </c>
      <c r="T24" s="107">
        <v>0.54</v>
      </c>
    </row>
    <row r="25" spans="1:20" x14ac:dyDescent="0.25">
      <c r="B25" s="552" t="s">
        <v>158</v>
      </c>
      <c r="C25" s="534"/>
      <c r="E25" s="423" t="s">
        <v>371</v>
      </c>
      <c r="F25" s="208" t="str">
        <f>IF('Stream Parts I-II'!$C7=$B$13,$B$13,IF(AND('Stream Parts I-II'!$C7&lt;&gt;$B$13,'Stream Parts I-II'!$AD36=FALSE,'Stream Parts I-II'!$AD35=FALSE),"Assumed Value = 30 pts",IF('Stream Parts I-II'!$E45="","Enter a number 0 or greater.",IF('Stream Parts I-II'!$E45=0,"0 = 0 points",IF(AND('Stream Parts I-II'!$E45&gt;0,'Stream Parts I-II'!$E45&lt;5),"0.1 - 4.9 = 10 points",IF('Stream Parts I-II'!$E45&gt;=5,"5 or greater = 30 points","Check Data"))))))</f>
        <v>Assumed Value = 30 pts</v>
      </c>
      <c r="G25" s="209">
        <f>IF('Stream Parts I-II'!B45="Assumed Value = 30 pts",30,IF('Stream Parts I-II'!$E45="","",IF('Stream Parts I-II'!$E45=0,0,IF(AND('Stream Parts I-II'!$E45&gt;0,'Stream Parts I-II'!$E45&lt;5),10,IF('Stream Parts I-II'!$E45&gt;=5,30,"Check Data")))))</f>
        <v>30</v>
      </c>
      <c r="H25" s="208" t="str">
        <f>IF('Stream Parts I-II'!$H7=$B$13,$B$13,IF('Stream Parts I-II'!$J45="","Enter a number 0 or greater.",IF('Stream Parts I-II'!$J45=0,"0 = 0 points",IF(AND('Stream Parts I-II'!$J45&gt;0,'Stream Parts I-II'!$J45&lt;5),"0.1 - 4.9 = 10 points",IF('Stream Parts I-II'!$J45&gt;=5,"5 or greater = 30 points","Check Data")))))</f>
        <v>0.1 - 4.9 = 10 points</v>
      </c>
      <c r="I25" s="209">
        <f>IF('Stream Parts I-II'!$J45="","",IF('Stream Parts I-II'!$J45=0,0,IF(AND('Stream Parts I-II'!$J45&gt;0,'Stream Parts I-II'!$J45&lt;5),10,IF('Stream Parts I-II'!$J45&gt;=5,30,"Check Data"))))</f>
        <v>10</v>
      </c>
      <c r="J25" s="208" t="str">
        <f>IF('Stream Parts I-II'!$H7=$B$13,$B$13,IF('Stream Parts I-II'!$P45="","Enter a number 0 or greater.",IF('Stream Parts I-II'!$P45=0,"0 = 0 points",IF(AND('Stream Parts I-II'!$P45&gt;0,'Stream Parts I-II'!$P45&lt;5),"0.1 - 4.9 = 10 points",IF('Stream Parts I-II'!$P45&gt;=5,"5 or greater = 30 points","Check Data")))))</f>
        <v>5 or greater = 30 points</v>
      </c>
      <c r="K25" s="209">
        <f>IF('Stream Parts I-II'!$P45="","",IF('Stream Parts I-II'!$P45=0,0,IF(AND('Stream Parts I-II'!$P45&gt;0,'Stream Parts I-II'!$P45&lt;5),10,IF('Stream Parts I-II'!$P45&gt;=5,30,"Check Data"))))</f>
        <v>30</v>
      </c>
      <c r="L25" s="208" t="str">
        <f>IF('Stream Parts I-II'!$H7=$B$13,$B$13,IF('Stream Parts I-II'!$U45="","Enter a number 0 or greater.",IF('Stream Parts I-II'!$U45=0,"0 = 0 points",IF(AND('Stream Parts I-II'!$U45&gt;0,'Stream Parts I-II'!$U45&lt;5),"0.1 - 4.9 = 10 points",IF('Stream Parts I-II'!$U45&gt;=5,"5 or greater = 30 points","Check Data")))))</f>
        <v>5 or greater = 30 points</v>
      </c>
      <c r="M25" s="209">
        <f>IF('Stream Parts I-II'!$U45="","",IF('Stream Parts I-II'!$U45=0,0,IF(AND('Stream Parts I-II'!$U45&gt;0,'Stream Parts I-II'!$U45&lt;5),10,IF('Stream Parts I-II'!$U45&gt;=5,30,"Check Data"))))</f>
        <v>30</v>
      </c>
      <c r="N25" s="208" t="str">
        <f>IF('Stream Parts I-II'!$H7=$B$13,$B$13,IF('Stream Parts I-II'!$AA45="","Enter a number 0 or greater.",IF('Stream Parts I-II'!$AA45=0,"0 = 0 points",IF(AND('Stream Parts I-II'!$AA45&gt;0,'Stream Parts I-II'!$AA45&lt;5),"0.1 - 4.9 = 10 points",IF('Stream Parts I-II'!$AA45&gt;=5,"5 or greater = 30 points","Check Data")))))</f>
        <v>5 or greater = 30 points</v>
      </c>
      <c r="O25" s="209">
        <f>IF('Stream Parts I-II'!$AA45="","",IF('Stream Parts I-II'!$AA45=0,0,IF(AND('Stream Parts I-II'!$AA45&gt;0,'Stream Parts I-II'!$AA45&lt;5),10,IF('Stream Parts I-II'!$AA45&gt;=5,30,"Check Data"))))</f>
        <v>30</v>
      </c>
      <c r="S25" s="282" t="s">
        <v>297</v>
      </c>
      <c r="T25" s="107">
        <v>0.56999999999999995</v>
      </c>
    </row>
    <row r="26" spans="1:20" ht="13.8" x14ac:dyDescent="0.3">
      <c r="B26" s="408" t="s">
        <v>159</v>
      </c>
      <c r="C26" s="534"/>
      <c r="E26" s="534"/>
      <c r="F26" s="535" t="s">
        <v>207</v>
      </c>
      <c r="G26" s="536" t="s">
        <v>154</v>
      </c>
      <c r="H26" s="535" t="s">
        <v>207</v>
      </c>
      <c r="I26" s="536" t="s">
        <v>154</v>
      </c>
      <c r="J26" s="535" t="s">
        <v>207</v>
      </c>
      <c r="K26" s="536" t="s">
        <v>154</v>
      </c>
      <c r="L26" s="535" t="s">
        <v>207</v>
      </c>
      <c r="M26" s="536" t="s">
        <v>154</v>
      </c>
      <c r="N26" s="535" t="s">
        <v>207</v>
      </c>
      <c r="O26" s="536" t="s">
        <v>154</v>
      </c>
      <c r="S26" s="108" t="s">
        <v>298</v>
      </c>
      <c r="T26" s="107">
        <v>0.6</v>
      </c>
    </row>
    <row r="27" spans="1:20" x14ac:dyDescent="0.25">
      <c r="B27" s="408" t="s">
        <v>160</v>
      </c>
      <c r="C27" s="534"/>
      <c r="E27" s="409" t="s">
        <v>177</v>
      </c>
      <c r="F27" s="537" t="str">
        <f>IF('Stream Parts I-II'!$AD35=FALSE,"N/A",IF('Stream Parts I-II'!$E50="","Enter a number 0 or greater.",IF(AND('Stream Parts I-II'!$E50&gt;=0,'Stream Parts I-II'!$E50&lt;500),"&lt;500 = 80 points",IF(AND('Stream Parts I-II'!$E50&gt;=500,'Stream Parts I-II'!$E50&lt;900),"500-899 = 50 points",IF(AND('Stream Parts I-II'!$E50&gt;=900,'Stream Parts I-II'!$E50&lt;2000),"900-1999 = 25 points",IF('Stream Parts I-II'!$E50&gt;=2000,"2000 or greater = 0 points","Check Data"))))))</f>
        <v>N/A</v>
      </c>
      <c r="G27" s="538" t="str">
        <f>IF('Stream Parts I-II'!$E50="","",IF(AND('Stream Parts I-II'!$E50&gt;=0,'Stream Parts I-II'!$E50&lt;500),80,IF(AND('Stream Parts I-II'!$E50&gt;=500,'Stream Parts I-II'!$E50&lt;900),50,IF(AND('Stream Parts I-II'!$E50&gt;=900,'Stream Parts I-II'!$E50&lt;2000),25,IF('Stream Parts I-II'!$E50&gt;=2000,0,"Check Data")))))</f>
        <v/>
      </c>
      <c r="H27" s="537" t="str">
        <f>IF('Stream Parts I-II'!$AE35=FALSE,"N/A",IF('Stream Parts I-II'!$J50="","Enter a number 0 or greater.",IF(AND('Stream Parts I-II'!$J50&gt;=0,'Stream Parts I-II'!$J50&lt;500),"&lt;500 = 80 points",IF(AND('Stream Parts I-II'!$J50&gt;=500,'Stream Parts I-II'!$J50&lt;900),"500-899 = 50 points",IF(AND('Stream Parts I-II'!$J50&gt;=900,'Stream Parts I-II'!$J50&lt;2000),"900-1999 = 25 points",IF('Stream Parts I-II'!$J50&gt;=2000,"2000 or greater = 0 points","Check Data"))))))</f>
        <v>N/A</v>
      </c>
      <c r="I27" s="538" t="str">
        <f>IF('Stream Parts I-II'!$J50="","",IF(AND('Stream Parts I-II'!$J50&gt;=0,'Stream Parts I-II'!$J50&lt;500),80,IF(AND('Stream Parts I-II'!$J50&gt;=500,'Stream Parts I-II'!$J50&lt;900),50,IF(AND('Stream Parts I-II'!$J50&gt;=900,'Stream Parts I-II'!$J50&lt;2000),25,IF('Stream Parts I-II'!$J50&gt;=2000,0,"Check Data")))))</f>
        <v/>
      </c>
      <c r="J27" s="537" t="str">
        <f>IF('Stream Parts I-II'!$AE35=FALSE,"N/A",IF('Stream Parts I-II'!$P50="","Enter a number 0 or greater.",IF(AND('Stream Parts I-II'!$P50&gt;=0,'Stream Parts I-II'!$P50&lt;500),"&lt;500 = 80 points",IF(AND('Stream Parts I-II'!$P50&gt;=500,'Stream Parts I-II'!$P50&lt;900),"500-899 = 50 points",IF(AND('Stream Parts I-II'!$P50&gt;=900,'Stream Parts I-II'!$P50&lt;2000),"900-1999 = 25 points",IF('Stream Parts I-II'!$P50&gt;=2000,"2000 or greater = 0 points","Check Data"))))))</f>
        <v>N/A</v>
      </c>
      <c r="K27" s="538" t="str">
        <f>IF('Stream Parts I-II'!$P50="","",IF(AND('Stream Parts I-II'!$P50&gt;=0,'Stream Parts I-II'!$P50&lt;500),80,IF(AND('Stream Parts I-II'!$P50&gt;=500,'Stream Parts I-II'!$P50&lt;900),50,IF(AND('Stream Parts I-II'!$P50&gt;=900,'Stream Parts I-II'!$P50&lt;2000),25,IF('Stream Parts I-II'!$P50&gt;=2000,0,"Check Data")))))</f>
        <v/>
      </c>
      <c r="L27" s="537" t="str">
        <f>IF('Stream Parts I-II'!$AE35=FALSE,"N/A",IF('Stream Parts I-II'!$U50="","Enter a number 0 or greater.",IF(AND('Stream Parts I-II'!$U50&gt;=0,'Stream Parts I-II'!$U50&lt;500),"&lt;500 = 80 points",IF(AND('Stream Parts I-II'!$U50&gt;=500,'Stream Parts I-II'!$U50&lt;900),"500-899 = 50 points",IF(AND('Stream Parts I-II'!$U50&gt;=900,'Stream Parts I-II'!$U50&lt;2000),"900-1999 = 25 points",IF('Stream Parts I-II'!$U50&gt;=2000,"2000 or greater = 0 points","Check Data"))))))</f>
        <v>N/A</v>
      </c>
      <c r="M27" s="538" t="str">
        <f>IF('Stream Parts I-II'!$U50="","",IF(AND('Stream Parts I-II'!$U50&gt;=0,'Stream Parts I-II'!$U50&lt;500),80,IF(AND('Stream Parts I-II'!$U50&gt;=500,'Stream Parts I-II'!$U50&lt;900),50,IF(AND('Stream Parts I-II'!$U50&gt;=900,'Stream Parts I-II'!$U50&lt;2000),25,IF('Stream Parts I-II'!$U50&gt;=2000,0,"Check Data")))))</f>
        <v/>
      </c>
      <c r="N27" s="537" t="str">
        <f>IF('Stream Parts I-II'!$AE35=FALSE,"N/A",IF('Stream Parts I-II'!$AA50="","Enter a number 0 or greater.",IF(AND('Stream Parts I-II'!$AA50&gt;=0,'Stream Parts I-II'!$AA50&lt;500),"&lt;500 = 80 points",IF(AND('Stream Parts I-II'!$AA50&gt;=500,'Stream Parts I-II'!$AA50&lt;900),"500-899 = 50 points",IF(AND('Stream Parts I-II'!$AA50&gt;=900,'Stream Parts I-II'!$AA50&lt;2000),"900-1999 = 25 points",IF('Stream Parts I-II'!$AA50&gt;=2000,"2000 or greater = 0 points","Check Data"))))))</f>
        <v>N/A</v>
      </c>
      <c r="O27" s="538" t="str">
        <f>IF('Stream Parts I-II'!$AA50="","",IF(AND('Stream Parts I-II'!$AA50&gt;=0,'Stream Parts I-II'!$AA50&lt;500),80,IF(AND('Stream Parts I-II'!$AA50&gt;=500,'Stream Parts I-II'!$AA50&lt;900),50,IF(AND('Stream Parts I-II'!$AA50&gt;=900,'Stream Parts I-II'!$AA50&lt;2000),25,IF('Stream Parts I-II'!$AA50&gt;=2000,0,"Check Data")))))</f>
        <v/>
      </c>
      <c r="Q27" s="281"/>
    </row>
    <row r="28" spans="1:20" x14ac:dyDescent="0.25">
      <c r="B28" s="408" t="s">
        <v>161</v>
      </c>
      <c r="C28" s="534"/>
      <c r="E28" s="409" t="s">
        <v>178</v>
      </c>
      <c r="F28" s="537" t="str">
        <f>IF('Stream Parts I-II'!$AD35=FALSE,"N/A",IF('Stream Parts I-II'!$E50="","Enter a number 0 or greater.",IF(AND('Stream Parts I-II'!$E50&gt;=0,'Stream Parts I-II'!$E50&lt;300),"&lt;300 = 80 points",IF(AND('Stream Parts I-II'!$E50&gt;=300,'Stream Parts I-II'!$E50&lt;800),"300-799 = 50 points",IF(AND('Stream Parts I-II'!$E50&gt;=800,'Stream Parts I-II'!$E50&lt;1200),"800-1199 = 25 points",IF('Stream Parts I-II'!$E50&gt;=1200,"1200 or greater = 0 points","Check Data"))))))</f>
        <v>N/A</v>
      </c>
      <c r="G28" s="538" t="str">
        <f>IF('Stream Parts I-II'!$E50="","",IF(AND('Stream Parts I-II'!$E50&gt;=0,'Stream Parts I-II'!$E50&lt;300),80,IF(AND('Stream Parts I-II'!$E50&gt;=300,'Stream Parts I-II'!$E50&lt;800),50,IF(AND('Stream Parts I-II'!$E50&gt;=800,'Stream Parts I-II'!$E50&lt;1200),25,IF('Stream Parts I-II'!$E50&gt;=1200,0,"Check Data")))))</f>
        <v/>
      </c>
      <c r="H28" s="537" t="str">
        <f>IF('Stream Parts I-II'!$AE35=FALSE,"N/A",IF('Stream Parts I-II'!$J50="","Enter a number 0 or greater.",IF(AND('Stream Parts I-II'!$J50&gt;=0,'Stream Parts I-II'!$J50&lt;300),"&lt;300 = 80 points",IF(AND('Stream Parts I-II'!$J50&gt;=300,'Stream Parts I-II'!$J50&lt;800),"300-799 = 50 points",IF(AND('Stream Parts I-II'!$J50&gt;=800,'Stream Parts I-II'!$J50&lt;1200),"800-1199 = 25 points",IF('Stream Parts I-II'!$J50&gt;=1200,"1200 or greater = 0 points","Check Data"))))))</f>
        <v>N/A</v>
      </c>
      <c r="I28" s="538" t="str">
        <f>IF('Stream Parts I-II'!$J50="","",IF(AND('Stream Parts I-II'!$J50&gt;=0,'Stream Parts I-II'!$J50&lt;300),80,IF(AND('Stream Parts I-II'!$J50&gt;=300,'Stream Parts I-II'!$J50&lt;800),50,IF(AND('Stream Parts I-II'!$J50&gt;=800,'Stream Parts I-II'!$J50&lt;1200),25,IF('Stream Parts I-II'!$J50&gt;=1200,0,"Check Data")))))</f>
        <v/>
      </c>
      <c r="J28" s="537" t="str">
        <f>IF('Stream Parts I-II'!$AE35=FALSE,"N/A",IF('Stream Parts I-II'!$P50="","Enter a number 0 or greater.",IF(AND('Stream Parts I-II'!$P50&gt;=0,'Stream Parts I-II'!$P50&lt;300),"&lt;300 = 80 points",IF(AND('Stream Parts I-II'!$P50&gt;=300,'Stream Parts I-II'!$P50&lt;800),"300-799 = 50 points",IF(AND('Stream Parts I-II'!$P50&gt;=800,'Stream Parts I-II'!$P50&lt;1200),"800-1199 = 25 points",IF('Stream Parts I-II'!$P50&gt;=1200,"1200 or greater = 0 points","Check Data"))))))</f>
        <v>N/A</v>
      </c>
      <c r="K28" s="538" t="str">
        <f>IF('Stream Parts I-II'!$P50="","",IF(AND('Stream Parts I-II'!$P50&gt;=0,'Stream Parts I-II'!$P50&lt;300),80,IF(AND('Stream Parts I-II'!$P50&gt;=300,'Stream Parts I-II'!$P50&lt;800),50,IF(AND('Stream Parts I-II'!$P50&gt;=800,'Stream Parts I-II'!$P50&lt;1200),25,IF('Stream Parts I-II'!$P50&gt;=1200,0,"Check Data")))))</f>
        <v/>
      </c>
      <c r="L28" s="537" t="str">
        <f>IF('Stream Parts I-II'!$AE35=FALSE,"N/A",IF('Stream Parts I-II'!$U50="","Enter a number 0 or greater.",IF(AND('Stream Parts I-II'!$U50&gt;=0,'Stream Parts I-II'!$U50&lt;300),"&lt;300 = 80 points",IF(AND('Stream Parts I-II'!$U50&gt;=300,'Stream Parts I-II'!$U50&lt;800),"300-799 = 50 points",IF(AND('Stream Parts I-II'!$U50&gt;=800,'Stream Parts I-II'!$U50&lt;1200),"800-1199 = 25 points",IF('Stream Parts I-II'!$U50&gt;=1200,"1200 or greater = 0 points","Check Data"))))))</f>
        <v>N/A</v>
      </c>
      <c r="M28" s="538" t="str">
        <f>IF('Stream Parts I-II'!$U50="","",IF(AND('Stream Parts I-II'!$U50&gt;=0,'Stream Parts I-II'!$U50&lt;300),80,IF(AND('Stream Parts I-II'!$U50&gt;=300,'Stream Parts I-II'!$U50&lt;800),50,IF(AND('Stream Parts I-II'!$U50&gt;=800,'Stream Parts I-II'!$U50&lt;1200),25,IF('Stream Parts I-II'!$U50&gt;=1200,0,"Check Data")))))</f>
        <v/>
      </c>
      <c r="N28" s="537" t="str">
        <f>IF('Stream Parts I-II'!$AE35=FALSE,"N/A",IF('Stream Parts I-II'!$AA50="","Enter a number 0 or greater.",IF(AND('Stream Parts I-II'!$AA50&gt;=0,'Stream Parts I-II'!$AA50&lt;300),"&lt;300 = 80 points",IF(AND('Stream Parts I-II'!$AA50&gt;=300,'Stream Parts I-II'!$AA50&lt;800),"300-799 = 50 points",IF(AND('Stream Parts I-II'!$AA50&gt;=800,'Stream Parts I-II'!$AA50&lt;1200),"800-1199 = 25 points",IF('Stream Parts I-II'!$AA50&gt;=1200,"1200 or greater = 0 points","Check Data"))))))</f>
        <v>N/A</v>
      </c>
      <c r="O28" s="538" t="str">
        <f>IF('Stream Parts I-II'!$AA50="","",IF(AND('Stream Parts I-II'!$AA50&gt;=0,'Stream Parts I-II'!$AA50&lt;300),80,IF(AND('Stream Parts I-II'!$AA50&gt;=300,'Stream Parts I-II'!$AA50&lt;800),50,IF(AND('Stream Parts I-II'!$AA50&gt;=800,'Stream Parts I-II'!$AA50&lt;1200),25,IF('Stream Parts I-II'!$AA50&gt;=1200,0,"Check Data")))))</f>
        <v/>
      </c>
      <c r="Q28" s="282"/>
    </row>
    <row r="29" spans="1:20" x14ac:dyDescent="0.25">
      <c r="B29" s="408" t="s">
        <v>162</v>
      </c>
      <c r="C29" s="534"/>
      <c r="E29" s="409" t="s">
        <v>179</v>
      </c>
      <c r="F29" s="537" t="str">
        <f>IF('Stream Parts I-II'!$AD35=FALSE,"N/A",IF('Stream Parts I-II'!$E50="","Enter a number 0 or greater.",IF(AND('Stream Parts I-II'!$E50&gt;=0,'Stream Parts I-II'!$E50&lt;400),"&lt;400 = 80 points",IF(AND('Stream Parts I-II'!$E50&gt;=400,'Stream Parts I-II'!$E50&lt;1000),"400-999 = 50 points",IF(AND('Stream Parts I-II'!$E50&gt;=1000,'Stream Parts I-II'!$E50&lt;1500),"1000-1499 = 25 points",IF('Stream Parts I-II'!$E50&gt;=1500,"1500 or greater = 0 points","Check Data"))))))</f>
        <v>N/A</v>
      </c>
      <c r="G29" s="538" t="str">
        <f>IF('Stream Parts I-II'!$E50="","",IF(AND('Stream Parts I-II'!$E50&gt;=0,'Stream Parts I-II'!$E50&lt;400),80,IF(AND('Stream Parts I-II'!$E50&gt;=400,'Stream Parts I-II'!$E50&lt;1000),50,IF(AND('Stream Parts I-II'!$E50&gt;=1000,'Stream Parts I-II'!$E50&lt;1500),25,IF('Stream Parts I-II'!$E50&gt;=1500,0,"Check Data")))))</f>
        <v/>
      </c>
      <c r="H29" s="537" t="str">
        <f>IF('Stream Parts I-II'!$AE35=FALSE,"N/A",IF('Stream Parts I-II'!$J50="","Enter a number 0 or greater.",IF(AND('Stream Parts I-II'!$J50&gt;=0,'Stream Parts I-II'!$J50&lt;400),"&lt;400 = 80 points",IF(AND('Stream Parts I-II'!$J50&gt;=400,'Stream Parts I-II'!$J50&lt;1000),"400-999 = 50 points",IF(AND('Stream Parts I-II'!$J50&gt;=1000,'Stream Parts I-II'!$J50&lt;1500),"1000-1499 = 25 points",IF('Stream Parts I-II'!$J50&gt;=1500,"1500 or greater = 0 points","Check Data"))))))</f>
        <v>N/A</v>
      </c>
      <c r="I29" s="538" t="str">
        <f>IF('Stream Parts I-II'!$J50="","",IF(AND('Stream Parts I-II'!$J50&gt;=0,'Stream Parts I-II'!$J50&lt;400),80,IF(AND('Stream Parts I-II'!$J50&gt;=400,'Stream Parts I-II'!$J50&lt;1000),50,IF(AND('Stream Parts I-II'!$J50&gt;=1000,'Stream Parts I-II'!$J50&lt;1500),25,IF('Stream Parts I-II'!$J50&gt;=1500,0,"Check Data")))))</f>
        <v/>
      </c>
      <c r="J29" s="537" t="str">
        <f>IF('Stream Parts I-II'!$AE35=FALSE,"N/A",IF('Stream Parts I-II'!$P50="","Enter a number 0 or greater.",IF(AND('Stream Parts I-II'!$P50&gt;=0,'Stream Parts I-II'!$P50&lt;400),"&lt;400 = 80 points",IF(AND('Stream Parts I-II'!$P50&gt;=400,'Stream Parts I-II'!$P50&lt;1000),"400-999 = 50 points",IF(AND('Stream Parts I-II'!$P50&gt;=1000,'Stream Parts I-II'!$P50&lt;1500),"1000-1499 = 25 points",IF('Stream Parts I-II'!$P50&gt;=1500,"1500 or greater = 0 points","Check Data"))))))</f>
        <v>N/A</v>
      </c>
      <c r="K29" s="538" t="str">
        <f>IF('Stream Parts I-II'!$P50="","",IF(AND('Stream Parts I-II'!$P50&gt;=0,'Stream Parts I-II'!$P50&lt;400),80,IF(AND('Stream Parts I-II'!$P50&gt;=400,'Stream Parts I-II'!$P50&lt;1000),50,IF(AND('Stream Parts I-II'!$P50&gt;=1000,'Stream Parts I-II'!$P50&lt;1500),25,IF('Stream Parts I-II'!$P50&gt;=1500,0,"Check Data")))))</f>
        <v/>
      </c>
      <c r="L29" s="537" t="str">
        <f>IF('Stream Parts I-II'!$AE35=FALSE,"N/A",IF('Stream Parts I-II'!$U50="","Enter a number 0 or greater.",IF(AND('Stream Parts I-II'!$U50&gt;=0,'Stream Parts I-II'!$U50&lt;400),"&lt;400 = 80 points",IF(AND('Stream Parts I-II'!$U50&gt;=400,'Stream Parts I-II'!$U50&lt;1000),"400-999 = 50 points",IF(AND('Stream Parts I-II'!$U50&gt;=1000,'Stream Parts I-II'!$U50&lt;1500),"1000-1499 = 25 points",IF('Stream Parts I-II'!$U50&gt;=1500,"1500 or greater = 0 points","Check Data"))))))</f>
        <v>N/A</v>
      </c>
      <c r="M29" s="538" t="str">
        <f>IF('Stream Parts I-II'!$U50="","",IF(AND('Stream Parts I-II'!$U50&gt;=0,'Stream Parts I-II'!$U50&lt;400),80,IF(AND('Stream Parts I-II'!$U50&gt;=400,'Stream Parts I-II'!$U50&lt;1000),50,IF(AND('Stream Parts I-II'!$U50&gt;=1000,'Stream Parts I-II'!$U50&lt;1500),25,IF('Stream Parts I-II'!$U50&gt;=1500,0,"Check Data")))))</f>
        <v/>
      </c>
      <c r="N29" s="537" t="str">
        <f>IF('Stream Parts I-II'!$AE35=FALSE,"N/A",IF('Stream Parts I-II'!$AA50="","Enter a number 0 or greater.",IF(AND('Stream Parts I-II'!$AA50&gt;=0,'Stream Parts I-II'!$AA50&lt;400),"&lt;400 = 80 points",IF(AND('Stream Parts I-II'!$AA50&gt;=400,'Stream Parts I-II'!$AA50&lt;1000),"400-999 = 50 points",IF(AND('Stream Parts I-II'!$AA50&gt;=1000,'Stream Parts I-II'!$AA50&lt;1500),"1000-1499 = 25 points",IF('Stream Parts I-II'!$AA50&gt;=1500,"1500 or greater = 0 points","Check Data"))))))</f>
        <v>N/A</v>
      </c>
      <c r="O29" s="538" t="str">
        <f>IF('Stream Parts I-II'!$AA50="","",IF(AND('Stream Parts I-II'!$AA50&gt;=0,'Stream Parts I-II'!$AA50&lt;400),80,IF(AND('Stream Parts I-II'!$AA50&gt;=400,'Stream Parts I-II'!$AA50&lt;1000),50,IF(AND('Stream Parts I-II'!$AA50&gt;=1000,'Stream Parts I-II'!$AA50&lt;1500),25,IF('Stream Parts I-II'!$AA50&gt;=1500,0,"Check Data")))))</f>
        <v/>
      </c>
      <c r="Q29" s="282"/>
      <c r="S29" s="256" t="s">
        <v>305</v>
      </c>
    </row>
    <row r="30" spans="1:20" x14ac:dyDescent="0.25">
      <c r="B30" s="408" t="s">
        <v>163</v>
      </c>
      <c r="C30" s="534"/>
      <c r="E30" s="409" t="s">
        <v>180</v>
      </c>
      <c r="F30" s="537" t="str">
        <f>IF('Stream Parts I-II'!$AD35=FALSE,"N/A",IF('Stream Parts I-II'!$E50="","Enter a number 0 or greater.",IF(AND('Stream Parts I-II'!$E50&gt;=0,'Stream Parts I-II'!$E50&lt;125),"&lt;125 = 80 points",IF(AND('Stream Parts I-II'!$E50&gt;=125,'Stream Parts I-II'!$E50&lt;680),"125-679 = 50 points",IF(AND('Stream Parts I-II'!$E50&gt;=680,'Stream Parts I-II'!$E50&lt;1700),"680-1699 = 25 points",IF('Stream Parts I-II'!$E50&gt;=1700,"1700 or greater = 0 points","Check Data"))))))</f>
        <v>N/A</v>
      </c>
      <c r="G30" s="538" t="str">
        <f>IF('Stream Parts I-II'!$E50="","",IF(AND('Stream Parts I-II'!$E50&gt;=0,'Stream Parts I-II'!$E50&lt;125),80,IF(AND('Stream Parts I-II'!$E50&gt;=125,'Stream Parts I-II'!$E50&lt;680),50,IF(AND('Stream Parts I-II'!$E50&gt;=680,'Stream Parts I-II'!$E50&lt;1700),25,IF('Stream Parts I-II'!$E50&gt;=1700,0,"Check Data")))))</f>
        <v/>
      </c>
      <c r="H30" s="537" t="str">
        <f>IF('Stream Parts I-II'!$AE35=FALSE,"N/A",IF('Stream Parts I-II'!$J50="","Enter a number 0 or greater.",IF(AND('Stream Parts I-II'!$J50&gt;=0,'Stream Parts I-II'!$J50&lt;125),"&lt;125 = 80 points",IF(AND('Stream Parts I-II'!$J50&gt;=125,'Stream Parts I-II'!$J50&lt;680),"125-679 = 50 points",IF(AND('Stream Parts I-II'!$J50&gt;=680,'Stream Parts I-II'!$J50&lt;1700),"680-1699 = 25 points",IF('Stream Parts I-II'!$J50&gt;=1700,"1700 or greater = 0 points","Check Data"))))))</f>
        <v>N/A</v>
      </c>
      <c r="I30" s="538" t="str">
        <f>IF('Stream Parts I-II'!$J50="","",IF(AND('Stream Parts I-II'!$J50&gt;=0,'Stream Parts I-II'!$J50&lt;125),80,IF(AND('Stream Parts I-II'!$J50&gt;=125,'Stream Parts I-II'!$J50&lt;680),50,IF(AND('Stream Parts I-II'!$J50&gt;=680,'Stream Parts I-II'!$J50&lt;1700),25,IF('Stream Parts I-II'!$J50&gt;=1700,0,"Check Data")))))</f>
        <v/>
      </c>
      <c r="J30" s="537" t="str">
        <f>IF('Stream Parts I-II'!$AE35=FALSE,"N/A",IF('Stream Parts I-II'!$P50="","Enter a number 0 or greater.",IF(AND('Stream Parts I-II'!$P50&gt;=0,'Stream Parts I-II'!$P50&lt;125),"&lt;125 = 80 points",IF(AND('Stream Parts I-II'!$P50&gt;=125,'Stream Parts I-II'!$P50&lt;680),"125-679 = 50 points",IF(AND('Stream Parts I-II'!$P50&gt;=680,'Stream Parts I-II'!$P50&lt;1700),"680-1699 = 25 points",IF('Stream Parts I-II'!$P50&gt;=1700,"1700 or greater = 0 points","Check Data"))))))</f>
        <v>N/A</v>
      </c>
      <c r="K30" s="538" t="str">
        <f>IF('Stream Parts I-II'!$P50="","",IF(AND('Stream Parts I-II'!$P50&gt;=0,'Stream Parts I-II'!$P50&lt;125),80,IF(AND('Stream Parts I-II'!$P50&gt;=125,'Stream Parts I-II'!$P50&lt;680),50,IF(AND('Stream Parts I-II'!$P50&gt;=680,'Stream Parts I-II'!$P50&lt;1700),25,IF('Stream Parts I-II'!$P50&gt;=1700,0,"Check Data")))))</f>
        <v/>
      </c>
      <c r="L30" s="537" t="str">
        <f>IF('Stream Parts I-II'!$AE35=FALSE,"N/A",IF('Stream Parts I-II'!$U50="","Enter a number 0 or greater.",IF(AND('Stream Parts I-II'!$U50&gt;=0,'Stream Parts I-II'!$U50&lt;125),"&lt;125 = 80 points",IF(AND('Stream Parts I-II'!$U50&gt;=125,'Stream Parts I-II'!$U50&lt;680),"125-679 = 50 points",IF(AND('Stream Parts I-II'!$U50&gt;=680,'Stream Parts I-II'!$U50&lt;1700),"680-1699 = 25 points",IF('Stream Parts I-II'!$U50&gt;=1700,"1700 or greater = 0 points","Check Data"))))))</f>
        <v>N/A</v>
      </c>
      <c r="M30" s="538" t="str">
        <f>IF('Stream Parts I-II'!$U50="","",IF(AND('Stream Parts I-II'!$U50&gt;=0,'Stream Parts I-II'!$U50&lt;125),80,IF(AND('Stream Parts I-II'!$U50&gt;=125,'Stream Parts I-II'!$U50&lt;680),50,IF(AND('Stream Parts I-II'!$U50&gt;=680,'Stream Parts I-II'!$U50&lt;1700),25,IF('Stream Parts I-II'!$U50&gt;=1700,0,"Check Data")))))</f>
        <v/>
      </c>
      <c r="N30" s="537" t="str">
        <f>IF('Stream Parts I-II'!$AE35=FALSE,"N/A",IF('Stream Parts I-II'!$AA50="","Enter a number 0 or greater.",IF(AND('Stream Parts I-II'!$AA50&gt;=0,'Stream Parts I-II'!$AA50&lt;125),"&lt;125 = 80 points",IF(AND('Stream Parts I-II'!$AA50&gt;=125,'Stream Parts I-II'!$AA50&lt;680),"125-679 = 50 points",IF(AND('Stream Parts I-II'!$AA50&gt;=680,'Stream Parts I-II'!$AA50&lt;1700),"680-1699 = 25 points",IF('Stream Parts I-II'!$AA50&gt;=1700,"1700 or greater = 0 points","Check Data"))))))</f>
        <v>N/A</v>
      </c>
      <c r="O30" s="538" t="str">
        <f>IF('Stream Parts I-II'!$AA50="","",IF(AND('Stream Parts I-II'!$AA50&gt;=0,'Stream Parts I-II'!$AA50&lt;125),80,IF(AND('Stream Parts I-II'!$AA50&gt;=125,'Stream Parts I-II'!$AA50&lt;680),50,IF(AND('Stream Parts I-II'!$AA50&gt;=680,'Stream Parts I-II'!$AA50&lt;1700),25,IF('Stream Parts I-II'!$AA50&gt;=1700,0,"Check Data")))))</f>
        <v/>
      </c>
      <c r="Q30" s="282"/>
    </row>
    <row r="31" spans="1:20" ht="13.8" x14ac:dyDescent="0.3">
      <c r="B31" s="408" t="s">
        <v>164</v>
      </c>
      <c r="C31" s="534"/>
      <c r="D31" s="1044" t="s">
        <v>372</v>
      </c>
      <c r="E31" s="409" t="s">
        <v>181</v>
      </c>
      <c r="F31" s="537" t="str">
        <f>IF('Stream Parts I-II'!$AD35=FALSE,"N/A",IF('Stream Parts I-II'!$E50="","Enter a number 0 or greater.",IF(AND('Stream Parts I-II'!$E50&gt;=0,'Stream Parts I-II'!$E50&lt;300),"&lt;300 = 80 points",IF(AND('Stream Parts I-II'!$E50&gt;=300,'Stream Parts I-II'!$E50&lt;1000),"300-999 = 50 points",IF(AND('Stream Parts I-II'!$E50&gt;=1000,'Stream Parts I-II'!$E50&lt;1600),"1000-1599 = 25 points",IF('Stream Parts I-II'!$E50&gt;=1600,"1600 or greater = 0 points","Check Data"))))))</f>
        <v>N/A</v>
      </c>
      <c r="G31" s="538" t="str">
        <f>IF('Stream Parts I-II'!$E50="","",IF(AND('Stream Parts I-II'!$E50&gt;=0,'Stream Parts I-II'!$E50&lt;300),80,IF(AND('Stream Parts I-II'!$E50&gt;=300,'Stream Parts I-II'!$E50&lt;1000),50,IF(AND('Stream Parts I-II'!$E50&gt;=1000,'Stream Parts I-II'!$E50&lt;1600),25,IF('Stream Parts I-II'!$E50&gt;=1600,0,"Check Data")))))</f>
        <v/>
      </c>
      <c r="H31" s="537" t="str">
        <f>IF('Stream Parts I-II'!$AE35=FALSE,"N/A",IF('Stream Parts I-II'!$J50="","Enter a number 0 or greater.",IF(AND('Stream Parts I-II'!$J50&gt;=0,'Stream Parts I-II'!$J50&lt;300),"&lt;300 = 80 points",IF(AND('Stream Parts I-II'!$J50&gt;=300,'Stream Parts I-II'!$J50&lt;1000),"300-999 = 50 points",IF(AND('Stream Parts I-II'!$J50&gt;=1000,'Stream Parts I-II'!$J50&lt;1600),"1000-1599 = 25 points",IF('Stream Parts I-II'!$J50&gt;=1600,"1600 or greater = 0 points","Check Data"))))))</f>
        <v>N/A</v>
      </c>
      <c r="I31" s="538" t="str">
        <f>IF('Stream Parts I-II'!$J50="","",IF(AND('Stream Parts I-II'!$J50&gt;=0,'Stream Parts I-II'!$J50&lt;300),80,IF(AND('Stream Parts I-II'!$J50&gt;=300,'Stream Parts I-II'!$J50&lt;1000),50,IF(AND('Stream Parts I-II'!$J50&gt;=1000,'Stream Parts I-II'!$J50&lt;1600),25,IF('Stream Parts I-II'!$J50&gt;=1600,0,"Check Data")))))</f>
        <v/>
      </c>
      <c r="J31" s="537" t="str">
        <f>IF('Stream Parts I-II'!$AE35=FALSE,"N/A",IF('Stream Parts I-II'!$P50="","Enter a number 0 or greater.",IF(AND('Stream Parts I-II'!$P50&gt;=0,'Stream Parts I-II'!$P50&lt;300),"&lt;300 = 80 points",IF(AND('Stream Parts I-II'!$P50&gt;=300,'Stream Parts I-II'!$P50&lt;1000),"300-999 = 50 points",IF(AND('Stream Parts I-II'!$P50&gt;=1000,'Stream Parts I-II'!$P50&lt;1600),"1000-1599 = 25 points",IF('Stream Parts I-II'!$P50&gt;=1600,"1600 or greater = 0 points","Check Data"))))))</f>
        <v>N/A</v>
      </c>
      <c r="K31" s="538" t="str">
        <f>IF('Stream Parts I-II'!$P50="","",IF(AND('Stream Parts I-II'!$P50&gt;=0,'Stream Parts I-II'!$P50&lt;300),80,IF(AND('Stream Parts I-II'!$P50&gt;=300,'Stream Parts I-II'!$P50&lt;1000),50,IF(AND('Stream Parts I-II'!$P50&gt;=1000,'Stream Parts I-II'!$P50&lt;1600),25,IF('Stream Parts I-II'!$P50&gt;=1600,0,"Check Data")))))</f>
        <v/>
      </c>
      <c r="L31" s="537" t="str">
        <f>IF('Stream Parts I-II'!$AE35=FALSE,"N/A",IF('Stream Parts I-II'!$U50="","Enter a number 0 or greater.",IF(AND('Stream Parts I-II'!$U50&gt;=0,'Stream Parts I-II'!$U50&lt;300),"&lt;300 = 80 points",IF(AND('Stream Parts I-II'!$U50&gt;=300,'Stream Parts I-II'!$U50&lt;1000),"300-999 = 50 points",IF(AND('Stream Parts I-II'!$U50&gt;=1000,'Stream Parts I-II'!$U50&lt;1600),"1000-1599 = 25 points",IF('Stream Parts I-II'!$U50&gt;=1600,"1600 or greater = 0 points","Check Data"))))))</f>
        <v>N/A</v>
      </c>
      <c r="M31" s="538" t="str">
        <f>IF('Stream Parts I-II'!$U50="","",IF(AND('Stream Parts I-II'!$U50&gt;=0,'Stream Parts I-II'!$U50&lt;300),80,IF(AND('Stream Parts I-II'!$U50&gt;=300,'Stream Parts I-II'!$U50&lt;1000),50,IF(AND('Stream Parts I-II'!$U50&gt;=1000,'Stream Parts I-II'!$U50&lt;1600),25,IF('Stream Parts I-II'!$U50&gt;=1600,0,"Check Data")))))</f>
        <v/>
      </c>
      <c r="N31" s="537" t="str">
        <f>IF('Stream Parts I-II'!$AE35=FALSE,"N/A",IF('Stream Parts I-II'!$AA50="","Enter a number 0 or greater.",IF(AND('Stream Parts I-II'!$AA50&gt;=0,'Stream Parts I-II'!$AA50&lt;300),"&lt;300 = 80 points",IF(AND('Stream Parts I-II'!$AA50&gt;=300,'Stream Parts I-II'!$AA50&lt;1000),"300-999 = 50 points",IF(AND('Stream Parts I-II'!$AA50&gt;=1000,'Stream Parts I-II'!$AA50&lt;1600),"1000-1599 = 25 points",IF('Stream Parts I-II'!$AA50&gt;=1600,"1600 or greater = 0 points","Check Data"))))))</f>
        <v>N/A</v>
      </c>
      <c r="O31" s="538" t="str">
        <f>IF('Stream Parts I-II'!$AA50="","",IF(AND('Stream Parts I-II'!$AA50&gt;=0,'Stream Parts I-II'!$AA50&lt;300),80,IF(AND('Stream Parts I-II'!$AA50&gt;=300,'Stream Parts I-II'!$AA50&lt;1000),50,IF(AND('Stream Parts I-II'!$AA50&gt;=1000,'Stream Parts I-II'!$AA50&lt;1600),25,IF('Stream Parts I-II'!$AA50&gt;=1600,0,"Check Data")))))</f>
        <v/>
      </c>
      <c r="S31" s="281" t="s">
        <v>279</v>
      </c>
      <c r="T31" s="107">
        <v>0</v>
      </c>
    </row>
    <row r="32" spans="1:20" x14ac:dyDescent="0.25">
      <c r="B32" s="105"/>
      <c r="D32" s="1044"/>
      <c r="E32" s="534"/>
      <c r="F32" s="537"/>
      <c r="G32" s="538"/>
      <c r="H32" s="537"/>
      <c r="I32" s="538"/>
      <c r="J32" s="537"/>
      <c r="K32" s="538"/>
      <c r="L32" s="537"/>
      <c r="M32" s="538"/>
      <c r="N32" s="537"/>
      <c r="O32" s="538"/>
      <c r="S32" s="282" t="s">
        <v>280</v>
      </c>
      <c r="T32" s="107">
        <v>0</v>
      </c>
    </row>
    <row r="33" spans="2:20" x14ac:dyDescent="0.25">
      <c r="B33" s="404" t="s">
        <v>190</v>
      </c>
      <c r="D33" s="1044"/>
      <c r="E33" s="409" t="s">
        <v>155</v>
      </c>
      <c r="F33" s="535" t="s">
        <v>209</v>
      </c>
      <c r="G33" s="536" t="s">
        <v>155</v>
      </c>
      <c r="H33" s="535" t="s">
        <v>209</v>
      </c>
      <c r="I33" s="536" t="s">
        <v>155</v>
      </c>
      <c r="J33" s="535" t="s">
        <v>209</v>
      </c>
      <c r="K33" s="536" t="s">
        <v>155</v>
      </c>
      <c r="L33" s="535" t="s">
        <v>209</v>
      </c>
      <c r="M33" s="536" t="s">
        <v>155</v>
      </c>
      <c r="N33" s="535" t="s">
        <v>209</v>
      </c>
      <c r="O33" s="536" t="s">
        <v>155</v>
      </c>
      <c r="S33" s="282" t="s">
        <v>281</v>
      </c>
      <c r="T33" s="107">
        <v>0</v>
      </c>
    </row>
    <row r="34" spans="2:20" x14ac:dyDescent="0.25">
      <c r="B34" s="105" t="s">
        <v>490</v>
      </c>
      <c r="D34" s="1044"/>
      <c r="E34" s="409" t="s">
        <v>177</v>
      </c>
      <c r="F34" s="537" t="str">
        <f>IF('Stream Parts I-II'!$AD35=FALSE,"N/A",IF('Stream Parts I-II'!$E53="","Enter a number 0 or greater.",IF(AND('Stream Parts I-II'!$E53&gt;=0,'Stream Parts I-II'!$E53&lt;100),"&lt;100 = 80 points",IF(AND('Stream Parts I-II'!$E53&gt;=100,'Stream Parts I-II'!$E53&lt;600),"100-599 = 50 points",IF(AND('Stream Parts I-II'!$E53&gt;=600,'Stream Parts I-II'!$E53&lt;1300),"600-1299 = 25 points",IF('Stream Parts I-II'!$E53&gt;=1300,"1300 or greater = 0 points","Check Data"))))))</f>
        <v>N/A</v>
      </c>
      <c r="G34" s="538" t="str">
        <f>IF('Stream Parts I-II'!$E53="","",IF(AND('Stream Parts I-II'!$E53&gt;=0,'Stream Parts I-II'!$E53&lt;100),80,IF(AND('Stream Parts I-II'!$E53&gt;=100,'Stream Parts I-II'!$E53&lt;600),50,IF(AND('Stream Parts I-II'!$E53&gt;=600,'Stream Parts I-II'!$E53&lt;1300),25,IF('Stream Parts I-II'!$E53&gt;=1300,0,"Check Data")))))</f>
        <v/>
      </c>
      <c r="H34" s="537" t="str">
        <f>IF('Stream Parts I-II'!$AE35=FALSE,"N/A",IF('Stream Parts I-II'!$J53="","Enter a number 0 or greater.",IF(AND('Stream Parts I-II'!$J53&gt;=0,'Stream Parts I-II'!$J53&lt;100),"&lt;100 = 80 points",IF(AND('Stream Parts I-II'!$J53&gt;=100,'Stream Parts I-II'!$J53&lt;600),"100-599 = 50 points",IF(AND('Stream Parts I-II'!$J53&gt;=600,'Stream Parts I-II'!$J53&lt;1300),"600-1299 = 25 points",IF('Stream Parts I-II'!$J53&gt;=1300,"1300 or greater = 0 points","Check Data"))))))</f>
        <v>N/A</v>
      </c>
      <c r="I34" s="538" t="str">
        <f>IF('Stream Parts I-II'!$J53="","",IF(AND('Stream Parts I-II'!$J53&gt;=0,'Stream Parts I-II'!$J53&lt;100),80,IF(AND('Stream Parts I-II'!$J53&gt;=100,'Stream Parts I-II'!$J53&lt;600),50,IF(AND('Stream Parts I-II'!$J53&gt;=600,'Stream Parts I-II'!$J53&lt;1300),25,IF('Stream Parts I-II'!$J53&gt;=1300,0,"Check Data")))))</f>
        <v/>
      </c>
      <c r="J34" s="537" t="str">
        <f>IF('Stream Parts I-II'!$AE35=FALSE,"N/A",IF('Stream Parts I-II'!$P53="","Enter a number 0 or greater.",IF(AND('Stream Parts I-II'!$P53&gt;=0,'Stream Parts I-II'!$P53&lt;100),"&lt;100 = 80 points",IF(AND('Stream Parts I-II'!$P53&gt;=100,'Stream Parts I-II'!$P53&lt;600),"100-599 = 50 points",IF(AND('Stream Parts I-II'!$P53&gt;=600,'Stream Parts I-II'!$P53&lt;1300),"600-1299 = 25 points",IF('Stream Parts I-II'!$P53&gt;=1300,"1300 or greater = 0 points","Check Data"))))))</f>
        <v>N/A</v>
      </c>
      <c r="K34" s="538" t="str">
        <f>IF('Stream Parts I-II'!$P53="","",IF(AND('Stream Parts I-II'!$P53&gt;=0,'Stream Parts I-II'!$P53&lt;100),80,IF(AND('Stream Parts I-II'!$P53&gt;=100,'Stream Parts I-II'!$P53&lt;600),50,IF(AND('Stream Parts I-II'!$P53&gt;=600,'Stream Parts I-II'!$P53&lt;1300),25,IF('Stream Parts I-II'!$P53&gt;=1300,0,"Check Data")))))</f>
        <v/>
      </c>
      <c r="L34" s="537" t="str">
        <f>IF('Stream Parts I-II'!$AE35=FALSE,"N/A",IF('Stream Parts I-II'!$U53="","Enter a number 0 or greater.",IF(AND('Stream Parts I-II'!$U53&gt;=0,'Stream Parts I-II'!$U53&lt;100),"&lt;100 = 80 points",IF(AND('Stream Parts I-II'!$U53&gt;=100,'Stream Parts I-II'!$U53&lt;600),"100-599 = 50 points",IF(AND('Stream Parts I-II'!$U53&gt;=600,'Stream Parts I-II'!$U53&lt;1300),"600-1299 = 25 points",IF('Stream Parts I-II'!$U53&gt;=1300,"1300 or greater = 0 points","Check Data"))))))</f>
        <v>N/A</v>
      </c>
      <c r="M34" s="538" t="str">
        <f>IF('Stream Parts I-II'!$U53="","",IF(AND('Stream Parts I-II'!$U53&gt;=0,'Stream Parts I-II'!$U53&lt;100),80,IF(AND('Stream Parts I-II'!$U53&gt;=100,'Stream Parts I-II'!$U53&lt;600),50,IF(AND('Stream Parts I-II'!$U53&gt;=600,'Stream Parts I-II'!$U53&lt;1300),25,IF('Stream Parts I-II'!$U53&gt;=1300,0,"Check Data")))))</f>
        <v/>
      </c>
      <c r="N34" s="537" t="str">
        <f>IF('Stream Parts I-II'!$AE35=FALSE,"N/A",IF('Stream Parts I-II'!$U53="","Enter a number 0 or greater.",IF(AND('Stream Parts I-II'!$U53&gt;=0,'Stream Parts I-II'!$U53&lt;100),"&lt;100 = 80 points",IF(AND('Stream Parts I-II'!$U53&gt;=100,'Stream Parts I-II'!$U53&lt;600),"100-599 = 50 points",IF(AND('Stream Parts I-II'!$U53&gt;=600,'Stream Parts I-II'!$U53&lt;1300),"600-1299 = 25 points",IF('Stream Parts I-II'!$U53&gt;=1300,"1300 or greater = 0 points","Check Data"))))))</f>
        <v>N/A</v>
      </c>
      <c r="O34" s="538" t="str">
        <f>IF('Stream Parts I-II'!$AA53="","",IF(AND('Stream Parts I-II'!$AA53&gt;=0,'Stream Parts I-II'!$AA53&lt;100),80,IF(AND('Stream Parts I-II'!$AA53&gt;=100,'Stream Parts I-II'!$AA53&lt;600),50,IF(AND('Stream Parts I-II'!$AA53&gt;=600,'Stream Parts I-II'!$AA53&lt;1300),25,IF('Stream Parts I-II'!$AA53&gt;=1300,0,"Check Data")))))</f>
        <v/>
      </c>
      <c r="S34" s="282" t="s">
        <v>282</v>
      </c>
      <c r="T34" s="107">
        <v>0</v>
      </c>
    </row>
    <row r="35" spans="2:20" x14ac:dyDescent="0.25">
      <c r="B35" s="109" t="s">
        <v>221</v>
      </c>
      <c r="D35" s="1044"/>
      <c r="E35" s="409" t="s">
        <v>178</v>
      </c>
      <c r="F35" s="537" t="str">
        <f>IF('Stream Parts I-II'!$AD35=FALSE,"N/A",IF('Stream Parts I-II'!$E53="","Enter a number 0 or greater.",IF(AND('Stream Parts I-II'!$E53&gt;=0,'Stream Parts I-II'!$E53&lt;100),"&lt;100 = 80 points",IF(AND('Stream Parts I-II'!$E53&gt;=100,'Stream Parts I-II'!$E53&lt;310),"100-309 = 50 points",IF(AND('Stream Parts I-II'!$E53&gt;=310,'Stream Parts I-II'!$E53&lt;535),"310-534 = 25 points",IF('Stream Parts I-II'!$E53&gt;=535,"535 or greater = 0 points","Check Data"))))))</f>
        <v>N/A</v>
      </c>
      <c r="G35" s="538" t="str">
        <f>IF('Stream Parts I-II'!$E53="","",IF(AND('Stream Parts I-II'!$E53&gt;=0,'Stream Parts I-II'!$E53&lt;100),80,IF(AND('Stream Parts I-II'!$E53&gt;=100,'Stream Parts I-II'!$E53&lt;310),50,IF(AND('Stream Parts I-II'!$E53&gt;=310,'Stream Parts I-II'!$E53&lt;535),25,IF('Stream Parts I-II'!$E53&gt;=535,0,"Check Data")))))</f>
        <v/>
      </c>
      <c r="H35" s="537" t="str">
        <f>IF('Stream Parts I-II'!$AE35=FALSE,"N/A",IF('Stream Parts I-II'!$J53="","Enter a number 0 or greater.",IF(AND('Stream Parts I-II'!$J53&gt;=0,'Stream Parts I-II'!$J53&lt;100),"&lt;100 = 80 points",IF(AND('Stream Parts I-II'!$J53&gt;=100,'Stream Parts I-II'!$J53&lt;310),"100-309 = 50 points",IF(AND('Stream Parts I-II'!$J53&gt;=310,'Stream Parts I-II'!$J53&lt;535),"310-534 = 25 points",IF('Stream Parts I-II'!$J53&gt;=535,"535 or greater = 0 points","Check Data"))))))</f>
        <v>N/A</v>
      </c>
      <c r="I35" s="538" t="str">
        <f>IF('Stream Parts I-II'!$J53="","",IF(AND('Stream Parts I-II'!$J53&gt;=0,'Stream Parts I-II'!$J53&lt;100),80,IF(AND('Stream Parts I-II'!$J53&gt;=100,'Stream Parts I-II'!$J53&lt;310),50,IF(AND('Stream Parts I-II'!$J53&gt;=310,'Stream Parts I-II'!$J53&lt;535),25,IF('Stream Parts I-II'!$J53&gt;=535,0,"Check Data")))))</f>
        <v/>
      </c>
      <c r="J35" s="537" t="str">
        <f>IF('Stream Parts I-II'!$AE35=FALSE,"N/A",IF('Stream Parts I-II'!$P53="","Enter a number 0 or greater.",IF(AND('Stream Parts I-II'!$P53&gt;=0,'Stream Parts I-II'!$P53&lt;100),"&lt;100 = 80 points",IF(AND('Stream Parts I-II'!$P53&gt;=100,'Stream Parts I-II'!$P53&lt;310),"100-309 = 50 points",IF(AND('Stream Parts I-II'!$P53&gt;=310,'Stream Parts I-II'!$P53&lt;535),"310-534 = 25 points",IF('Stream Parts I-II'!$P53&gt;=535,"535 or greater = 0 points","Check Data"))))))</f>
        <v>N/A</v>
      </c>
      <c r="K35" s="538" t="str">
        <f>IF('Stream Parts I-II'!$P53="","",IF(AND('Stream Parts I-II'!$P53&gt;=0,'Stream Parts I-II'!$P53&lt;100),80,IF(AND('Stream Parts I-II'!$P53&gt;=100,'Stream Parts I-II'!$P53&lt;310),50,IF(AND('Stream Parts I-II'!$P53&gt;=310,'Stream Parts I-II'!$P53&lt;535),25,IF('Stream Parts I-II'!$P53&gt;=535,0,"Check Data")))))</f>
        <v/>
      </c>
      <c r="L35"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M35" s="538" t="str">
        <f>IF('Stream Parts I-II'!$U53="","",IF(AND('Stream Parts I-II'!$U53&gt;=0,'Stream Parts I-II'!$U53&lt;100),80,IF(AND('Stream Parts I-II'!$U53&gt;=100,'Stream Parts I-II'!$U53&lt;310),50,IF(AND('Stream Parts I-II'!$U53&gt;=310,'Stream Parts I-II'!$U53&lt;535),25,IF('Stream Parts I-II'!$U53&gt;=535,0,"Check Data")))))</f>
        <v/>
      </c>
      <c r="N35"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O35" s="538" t="str">
        <f>IF('Stream Parts I-II'!$AA53="","",IF(AND('Stream Parts I-II'!$AA53&gt;=0,'Stream Parts I-II'!$AA53&lt;100),80,IF(AND('Stream Parts I-II'!$AA53&gt;=100,'Stream Parts I-II'!$AA53&lt;310),50,IF(AND('Stream Parts I-II'!$AA53&gt;=310,'Stream Parts I-II'!$AA53&lt;535),25,IF('Stream Parts I-II'!$AA53&gt;=535,0,"Check Data")))))</f>
        <v/>
      </c>
      <c r="S35" s="282" t="s">
        <v>283</v>
      </c>
      <c r="T35" s="107">
        <v>0</v>
      </c>
    </row>
    <row r="36" spans="2:20" x14ac:dyDescent="0.25">
      <c r="B36" s="109" t="s">
        <v>222</v>
      </c>
      <c r="E36" s="409" t="s">
        <v>179</v>
      </c>
      <c r="F36" s="537" t="str">
        <f>IF('Stream Parts I-II'!$AD35=FALSE,"N/A",IF('Stream Parts I-II'!$E53="","Enter a number 0 or greater.",IF(AND('Stream Parts I-II'!$E53&gt;=0,'Stream Parts I-II'!$E53&lt;100),"&lt;100 = 80 points",IF(AND('Stream Parts I-II'!$E53&gt;=100,'Stream Parts I-II'!$E53&lt;310),"100-309 = 50 points",IF(AND('Stream Parts I-II'!$E53&gt;=310,'Stream Parts I-II'!$E53&lt;535),"310-534 = 25 points",IF('Stream Parts I-II'!$E53&gt;=535,"535 or greater = 0 points","Check Data"))))))</f>
        <v>N/A</v>
      </c>
      <c r="G36" s="538" t="str">
        <f>IF('Stream Parts I-II'!$E53="","",IF(AND('Stream Parts I-II'!$E53&gt;=0,'Stream Parts I-II'!$E53&lt;100),80,IF(AND('Stream Parts I-II'!$E53&gt;=100,'Stream Parts I-II'!$E53&lt;310),50,IF(AND('Stream Parts I-II'!$E53&gt;=310,'Stream Parts I-II'!$E53&lt;535),25,IF('Stream Parts I-II'!$E53&gt;=535,0,"Check Data")))))</f>
        <v/>
      </c>
      <c r="H36" s="537" t="str">
        <f>IF('Stream Parts I-II'!$AE35=FALSE,"N/A",IF('Stream Parts I-II'!$J53="","Enter a number 0 or greater.",IF(AND('Stream Parts I-II'!$J53&gt;=0,'Stream Parts I-II'!$J53&lt;100),"&lt;100 = 80 points",IF(AND('Stream Parts I-II'!$J53&gt;=100,'Stream Parts I-II'!$J53&lt;310),"100-309 = 50 points",IF(AND('Stream Parts I-II'!$J53&gt;=310,'Stream Parts I-II'!$J53&lt;535),"310-534 = 25 points",IF('Stream Parts I-II'!$J53&gt;=535,"535 or greater = 0 points","Check Data"))))))</f>
        <v>N/A</v>
      </c>
      <c r="I36" s="538" t="str">
        <f>IF('Stream Parts I-II'!$J53="","",IF(AND('Stream Parts I-II'!$J53&gt;=0,'Stream Parts I-II'!$J53&lt;100),80,IF(AND('Stream Parts I-II'!$J53&gt;=100,'Stream Parts I-II'!$J53&lt;310),50,IF(AND('Stream Parts I-II'!$J53&gt;=310,'Stream Parts I-II'!$J53&lt;535),25,IF('Stream Parts I-II'!$J53&gt;=535,0,"Check Data")))))</f>
        <v/>
      </c>
      <c r="J36" s="537" t="str">
        <f>IF('Stream Parts I-II'!$AE35=FALSE,"N/A",IF('Stream Parts I-II'!$P53="","Enter a number 0 or greater.",IF(AND('Stream Parts I-II'!$P53&gt;=0,'Stream Parts I-II'!$P53&lt;100),"&lt;100 = 80 points",IF(AND('Stream Parts I-II'!$P53&gt;=100,'Stream Parts I-II'!$P53&lt;310),"100-309 = 50 points",IF(AND('Stream Parts I-II'!$P53&gt;=310,'Stream Parts I-II'!$P53&lt;535),"310-534 = 25 points",IF('Stream Parts I-II'!$P53&gt;=535,"535 or greater = 0 points","Check Data"))))))</f>
        <v>N/A</v>
      </c>
      <c r="K36" s="538" t="str">
        <f>IF('Stream Parts I-II'!$P53="","",IF(AND('Stream Parts I-II'!$P53&gt;=0,'Stream Parts I-II'!$P53&lt;100),80,IF(AND('Stream Parts I-II'!$P53&gt;=100,'Stream Parts I-II'!$P53&lt;310),50,IF(AND('Stream Parts I-II'!$P53&gt;=310,'Stream Parts I-II'!$P53&lt;535),25,IF('Stream Parts I-II'!$P53&gt;=535,0,"Check Data")))))</f>
        <v/>
      </c>
      <c r="L36"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M36" s="538" t="str">
        <f>IF('Stream Parts I-II'!$U53="","",IF(AND('Stream Parts I-II'!$U53&gt;=0,'Stream Parts I-II'!$U53&lt;100),80,IF(AND('Stream Parts I-II'!$U53&gt;=100,'Stream Parts I-II'!$U53&lt;310),50,IF(AND('Stream Parts I-II'!$U53&gt;=310,'Stream Parts I-II'!$U53&lt;535),25,IF('Stream Parts I-II'!$U53&gt;=535,0,"Check Data")))))</f>
        <v/>
      </c>
      <c r="N36"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O36" s="538" t="str">
        <f>IF('Stream Parts I-II'!$AA53="","",IF(AND('Stream Parts I-II'!$AA53&gt;=0,'Stream Parts I-II'!$AA53&lt;100),80,IF(AND('Stream Parts I-II'!$AA53&gt;=100,'Stream Parts I-II'!$AA53&lt;310),50,IF(AND('Stream Parts I-II'!$AA53&gt;=310,'Stream Parts I-II'!$AA53&lt;535),25,IF('Stream Parts I-II'!$AA53&gt;=535,0,"Check Data")))))</f>
        <v/>
      </c>
      <c r="S36" s="282" t="s">
        <v>284</v>
      </c>
      <c r="T36" s="107">
        <v>0.1</v>
      </c>
    </row>
    <row r="37" spans="2:20" x14ac:dyDescent="0.25">
      <c r="E37" s="409" t="s">
        <v>180</v>
      </c>
      <c r="F37" s="537" t="str">
        <f>IF('Stream Parts I-II'!$AD35=FALSE,"N/A",IF('Stream Parts I-II'!$E53="","Enter a number 0 or greater.",IF(AND('Stream Parts I-II'!$E53&gt;=0,'Stream Parts I-II'!$E53&lt;100),"&lt;100 = 80 points",IF(AND('Stream Parts I-II'!$E53&gt;=100,'Stream Parts I-II'!$E53&lt;310),"100-309 = 50 points",IF(AND('Stream Parts I-II'!$E53&gt;=310,'Stream Parts I-II'!$E53&lt;535),"310-534 = 25 points",IF('Stream Parts I-II'!$E53&gt;=535,"535 or greater = 0 points","Check Data"))))))</f>
        <v>N/A</v>
      </c>
      <c r="G37" s="538" t="str">
        <f>IF('Stream Parts I-II'!$E53="","",IF(AND('Stream Parts I-II'!$E53&gt;=0,'Stream Parts I-II'!$E53&lt;100),80,IF(AND('Stream Parts I-II'!$E53&gt;=100,'Stream Parts I-II'!$E53&lt;310),50,IF(AND('Stream Parts I-II'!$E53&gt;=310,'Stream Parts I-II'!$E53&lt;535),25,IF('Stream Parts I-II'!$E53&gt;=535,0,"Check Data")))))</f>
        <v/>
      </c>
      <c r="H37" s="537" t="str">
        <f>IF('Stream Parts I-II'!$AE35=FALSE,"N/A",IF('Stream Parts I-II'!$J53="","Enter a number 0 or greater.",IF(AND('Stream Parts I-II'!$J53&gt;=0,'Stream Parts I-II'!$J53&lt;100),"&lt;100 = 80 points",IF(AND('Stream Parts I-II'!$J53&gt;=100,'Stream Parts I-II'!$J53&lt;310),"100-309 = 50 points",IF(AND('Stream Parts I-II'!$J53&gt;=310,'Stream Parts I-II'!$J53&lt;535),"310-534 = 25 points",IF('Stream Parts I-II'!$J53&gt;=535,"535 or greater = 0 points","Check Data"))))))</f>
        <v>N/A</v>
      </c>
      <c r="I37" s="538" t="str">
        <f>IF('Stream Parts I-II'!$J53="","",IF(AND('Stream Parts I-II'!$J53&gt;=0,'Stream Parts I-II'!$J53&lt;100),80,IF(AND('Stream Parts I-II'!$J53&gt;=100,'Stream Parts I-II'!$J53&lt;310),50,IF(AND('Stream Parts I-II'!$J53&gt;=310,'Stream Parts I-II'!$J53&lt;535),25,IF('Stream Parts I-II'!$J53&gt;=535,0,"Check Data")))))</f>
        <v/>
      </c>
      <c r="J37" s="537" t="str">
        <f>IF('Stream Parts I-II'!$AE35=FALSE,"N/A",IF('Stream Parts I-II'!$P53="","Enter a number 0 or greater.",IF(AND('Stream Parts I-II'!$P53&gt;=0,'Stream Parts I-II'!$P53&lt;100),"&lt;100 = 80 points",IF(AND('Stream Parts I-II'!$P53&gt;=100,'Stream Parts I-II'!$P53&lt;310),"100-309 = 50 points",IF(AND('Stream Parts I-II'!$P53&gt;=310,'Stream Parts I-II'!$P53&lt;535),"310-534 = 25 points",IF('Stream Parts I-II'!$P53&gt;=535,"535 or greater = 0 points","Check Data"))))))</f>
        <v>N/A</v>
      </c>
      <c r="K37" s="538" t="str">
        <f>IF('Stream Parts I-II'!$P53="","",IF(AND('Stream Parts I-II'!$P53&gt;=0,'Stream Parts I-II'!$P53&lt;100),80,IF(AND('Stream Parts I-II'!$P53&gt;=100,'Stream Parts I-II'!$P53&lt;310),50,IF(AND('Stream Parts I-II'!$P53&gt;=310,'Stream Parts I-II'!$P53&lt;535),25,IF('Stream Parts I-II'!$P53&gt;=535,0,"Check Data")))))</f>
        <v/>
      </c>
      <c r="L37"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M37" s="538" t="str">
        <f>IF('Stream Parts I-II'!$U53="","",IF(AND('Stream Parts I-II'!$U53&gt;=0,'Stream Parts I-II'!$U53&lt;100),80,IF(AND('Stream Parts I-II'!$U53&gt;=100,'Stream Parts I-II'!$U53&lt;310),50,IF(AND('Stream Parts I-II'!$U53&gt;=310,'Stream Parts I-II'!$U53&lt;535),25,IF('Stream Parts I-II'!$U53&gt;=535,0,"Check Data")))))</f>
        <v/>
      </c>
      <c r="N37"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O37" s="538" t="str">
        <f>IF('Stream Parts I-II'!$AA53="","",IF(AND('Stream Parts I-II'!$AA53&gt;=0,'Stream Parts I-II'!$AA53&lt;100),80,IF(AND('Stream Parts I-II'!$AA53&gt;=100,'Stream Parts I-II'!$AA53&lt;310),50,IF(AND('Stream Parts I-II'!$AA53&gt;=310,'Stream Parts I-II'!$AA53&lt;535),25,IF('Stream Parts I-II'!$AA53&gt;=535,0,"Check Data")))))</f>
        <v/>
      </c>
      <c r="S37" s="282" t="s">
        <v>285</v>
      </c>
      <c r="T37" s="107">
        <v>0.1</v>
      </c>
    </row>
    <row r="38" spans="2:20" x14ac:dyDescent="0.25">
      <c r="E38" s="409" t="s">
        <v>181</v>
      </c>
      <c r="F38" s="537" t="str">
        <f>IF('Stream Parts I-II'!$AD35=FALSE,"N/A",IF('Stream Parts I-II'!$E53="","Enter a number 0 or greater.",IF(AND('Stream Parts I-II'!$E53&gt;=0,'Stream Parts I-II'!$E53&lt;100),"&lt;100 = 80 points",IF(AND('Stream Parts I-II'!$E53&gt;=100,'Stream Parts I-II'!$E53&lt;310),"100-309 = 50 points",IF(AND('Stream Parts I-II'!$E53&gt;=310,'Stream Parts I-II'!$E53&lt;535),"310-534 = 25 points",IF('Stream Parts I-II'!$E53&gt;=535,"535 or greater = 0 points","Check Data"))))))</f>
        <v>N/A</v>
      </c>
      <c r="G38" s="538" t="str">
        <f>IF('Stream Parts I-II'!$E53="","",IF(AND('Stream Parts I-II'!$E53&gt;=0,'Stream Parts I-II'!$E53&lt;100),80,IF(AND('Stream Parts I-II'!$E53&gt;=100,'Stream Parts I-II'!$E53&lt;310),50,IF(AND('Stream Parts I-II'!$E53&gt;=310,'Stream Parts I-II'!$E53&lt;535),25,IF('Stream Parts I-II'!$E53&gt;=535,0,"Check Data")))))</f>
        <v/>
      </c>
      <c r="H38" s="537" t="str">
        <f>IF('Stream Parts I-II'!$AE35=FALSE,"N/A",IF('Stream Parts I-II'!$J53="","Enter a number 0 or greater.",IF(AND('Stream Parts I-II'!$J53&gt;=0,'Stream Parts I-II'!$J53&lt;100),"&lt;100 = 80 points",IF(AND('Stream Parts I-II'!$J53&gt;=100,'Stream Parts I-II'!$J53&lt;310),"100-309 = 50 points",IF(AND('Stream Parts I-II'!$J53&gt;=310,'Stream Parts I-II'!$J53&lt;535),"310-534 = 25 points",IF('Stream Parts I-II'!$J53&gt;=535,"535 or greater = 0 points","Check Data"))))))</f>
        <v>N/A</v>
      </c>
      <c r="I38" s="538" t="str">
        <f>IF('Stream Parts I-II'!$J53="","",IF(AND('Stream Parts I-II'!$J53&gt;=0,'Stream Parts I-II'!$J53&lt;100),80,IF(AND('Stream Parts I-II'!$J53&gt;=100,'Stream Parts I-II'!$J53&lt;310),50,IF(AND('Stream Parts I-II'!$J53&gt;=310,'Stream Parts I-II'!$J53&lt;535),25,IF('Stream Parts I-II'!$J53&gt;=535,0,"Check Data")))))</f>
        <v/>
      </c>
      <c r="J38" s="537" t="str">
        <f>IF('Stream Parts I-II'!$AE35=FALSE,"N/A",IF('Stream Parts I-II'!$P53="","Enter a number 0 or greater.",IF(AND('Stream Parts I-II'!$P53&gt;=0,'Stream Parts I-II'!$P53&lt;100),"&lt;100 = 80 points",IF(AND('Stream Parts I-II'!$P53&gt;=100,'Stream Parts I-II'!$P53&lt;310),"100-309 = 50 points",IF(AND('Stream Parts I-II'!$P53&gt;=310,'Stream Parts I-II'!$P53&lt;535),"310-534 = 25 points",IF('Stream Parts I-II'!$P53&gt;=535,"535 or greater = 0 points","Check Data"))))))</f>
        <v>N/A</v>
      </c>
      <c r="K38" s="538" t="str">
        <f>IF('Stream Parts I-II'!$P53="","",IF(AND('Stream Parts I-II'!$P53&gt;=0,'Stream Parts I-II'!$P53&lt;100),80,IF(AND('Stream Parts I-II'!$P53&gt;=100,'Stream Parts I-II'!$P53&lt;310),50,IF(AND('Stream Parts I-II'!$P53&gt;=310,'Stream Parts I-II'!$P53&lt;535),25,IF('Stream Parts I-II'!$P53&gt;=535,0,"Check Data")))))</f>
        <v/>
      </c>
      <c r="L38"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M38" s="538" t="str">
        <f>IF('Stream Parts I-II'!$U53="","",IF(AND('Stream Parts I-II'!$U53&gt;=0,'Stream Parts I-II'!$U53&lt;100),80,IF(AND('Stream Parts I-II'!$U53&gt;=100,'Stream Parts I-II'!$U53&lt;310),50,IF(AND('Stream Parts I-II'!$U53&gt;=310,'Stream Parts I-II'!$U53&lt;535),25,IF('Stream Parts I-II'!$U53&gt;=535,0,"Check Data")))))</f>
        <v/>
      </c>
      <c r="N38" s="537" t="str">
        <f>IF('Stream Parts I-II'!$AE35=FALSE,"N/A",IF('Stream Parts I-II'!$U53="","Enter a number 0 or greater.",IF(AND('Stream Parts I-II'!$U53&gt;=0,'Stream Parts I-II'!$U53&lt;100),"&lt;100 = 80 points",IF(AND('Stream Parts I-II'!$U53&gt;=100,'Stream Parts I-II'!$U53&lt;310),"100-309 = 50 points",IF(AND('Stream Parts I-II'!$U53&gt;=310,'Stream Parts I-II'!$U53&lt;535),"310-534 = 25 points",IF('Stream Parts I-II'!$U53&gt;=535,"535 or greater = 0 points","Check Data"))))))</f>
        <v>N/A</v>
      </c>
      <c r="O38" s="538" t="str">
        <f>IF('Stream Parts I-II'!$AA53="","",IF(AND('Stream Parts I-II'!$AA53&gt;=0,'Stream Parts I-II'!$AA53&lt;100),80,IF(AND('Stream Parts I-II'!$AA53&gt;=100,'Stream Parts I-II'!$AA53&lt;310),50,IF(AND('Stream Parts I-II'!$AA53&gt;=310,'Stream Parts I-II'!$AA53&lt;535),25,IF('Stream Parts I-II'!$AA53&gt;=535,0,"Check Data")))))</f>
        <v/>
      </c>
      <c r="S38" s="282" t="s">
        <v>286</v>
      </c>
      <c r="T38" s="107">
        <v>0.1</v>
      </c>
    </row>
    <row r="39" spans="2:20" x14ac:dyDescent="0.25">
      <c r="B39" s="550" t="s">
        <v>191</v>
      </c>
      <c r="E39" s="534"/>
      <c r="F39" s="537"/>
      <c r="G39" s="538"/>
      <c r="H39" s="537"/>
      <c r="I39" s="538"/>
      <c r="J39" s="537"/>
      <c r="K39" s="538"/>
      <c r="L39" s="537"/>
      <c r="M39" s="538"/>
      <c r="N39" s="537"/>
      <c r="O39" s="538"/>
      <c r="S39" s="282" t="s">
        <v>287</v>
      </c>
      <c r="T39" s="107">
        <v>0.1</v>
      </c>
    </row>
    <row r="40" spans="2:20" x14ac:dyDescent="0.25">
      <c r="B40" s="534"/>
      <c r="E40" s="534"/>
      <c r="F40" s="535" t="s">
        <v>208</v>
      </c>
      <c r="G40" s="536" t="s">
        <v>156</v>
      </c>
      <c r="H40" s="535" t="s">
        <v>208</v>
      </c>
      <c r="I40" s="536" t="s">
        <v>156</v>
      </c>
      <c r="J40" s="535" t="s">
        <v>208</v>
      </c>
      <c r="K40" s="536" t="s">
        <v>156</v>
      </c>
      <c r="L40" s="535" t="s">
        <v>208</v>
      </c>
      <c r="M40" s="536" t="s">
        <v>156</v>
      </c>
      <c r="N40" s="535" t="s">
        <v>208</v>
      </c>
      <c r="O40" s="536" t="s">
        <v>156</v>
      </c>
      <c r="S40" s="282" t="s">
        <v>288</v>
      </c>
      <c r="T40" s="107">
        <v>0.1</v>
      </c>
    </row>
    <row r="41" spans="2:20" x14ac:dyDescent="0.25">
      <c r="B41" s="534">
        <v>-3</v>
      </c>
      <c r="E41" s="409" t="s">
        <v>177</v>
      </c>
      <c r="F41" s="537" t="str">
        <f>IF('Stream Parts I-II'!$AD35=FALSE,"N/A",IF('Stream Parts I-II'!$E56="","Enter a number 0 or greater.",IF(AND('Stream Parts I-II'!$E56&gt;=0,'Stream Parts I-II'!$E56&lt;55),"&lt;55 = 80 points",IF(AND('Stream Parts I-II'!$E56&gt;=55,'Stream Parts I-II'!$E56&lt;250),"55-249 = 50 points",IF(AND('Stream Parts I-II'!$E56&gt;=250,'Stream Parts I-II'!$E56&lt;500),"250-499 = 25 points",IF('Stream Parts I-II'!$E56&gt;=500,"500 or greater = 0 points","Check Data"))))))</f>
        <v>N/A</v>
      </c>
      <c r="G41" s="538" t="str">
        <f>IF('Stream Parts I-II'!$E56="","",IF(AND('Stream Parts I-II'!$E56&gt;=0,'Stream Parts I-II'!$E56&lt;55),80,IF(AND('Stream Parts I-II'!$E56&gt;=55,'Stream Parts I-II'!$E56&lt;250),50,IF(AND('Stream Parts I-II'!$E56&gt;=250,'Stream Parts I-II'!$E56&lt;500),25,IF('Stream Parts I-II'!$E56&gt;=500,0,"Check Data")))))</f>
        <v/>
      </c>
      <c r="H41" s="537" t="str">
        <f>IF('Stream Parts I-II'!$AE35=FALSE,"N/A",IF('Stream Parts I-II'!$J56="","Enter a number 0 or greater.",IF(AND('Stream Parts I-II'!$J56&gt;=0,'Stream Parts I-II'!$J56&lt;55),"&lt;55 = 80 points",IF(AND('Stream Parts I-II'!$J56&gt;=55,'Stream Parts I-II'!$J56&lt;250),"55-249 = 50 points",IF(AND('Stream Parts I-II'!$J56&gt;=250,'Stream Parts I-II'!$J56&lt;500),"250-499 = 25 points",IF('Stream Parts I-II'!$J56&gt;=500,"500 or greater = 0 points","Check Data"))))))</f>
        <v>N/A</v>
      </c>
      <c r="I41" s="538" t="str">
        <f>IF('Stream Parts I-II'!$J56="","",IF(AND('Stream Parts I-II'!$J56&gt;=0,'Stream Parts I-II'!$J56&lt;55),80,IF(AND('Stream Parts I-II'!$J56&gt;=55,'Stream Parts I-II'!$J56&lt;250),50,IF(AND('Stream Parts I-II'!$J56&gt;=250,'Stream Parts I-II'!$J56&lt;500),25,IF('Stream Parts I-II'!$J56&gt;=500,0,"Check Data")))))</f>
        <v/>
      </c>
      <c r="J41" s="537" t="str">
        <f>IF('Stream Parts I-II'!$AE35=FALSE,"N/A",IF('Stream Parts I-II'!$P56="","Enter a number 0 or greater.",IF(AND('Stream Parts I-II'!$P56&gt;=0,'Stream Parts I-II'!$P56&lt;55),"&lt;55 = 80 points",IF(AND('Stream Parts I-II'!$P56&gt;=55,'Stream Parts I-II'!$P56&lt;250),"55-249 = 50 points",IF(AND('Stream Parts I-II'!$P56&gt;=250,'Stream Parts I-II'!$P56&lt;500),"250-499 = 25 points",IF('Stream Parts I-II'!$P56&gt;=500,"500 or greater = 0 points","Check Data"))))))</f>
        <v>N/A</v>
      </c>
      <c r="K41" s="538" t="str">
        <f>IF('Stream Parts I-II'!$P56="","",IF(AND('Stream Parts I-II'!$P56&gt;=0,'Stream Parts I-II'!$P56&lt;55),80,IF(AND('Stream Parts I-II'!$P56&gt;=55,'Stream Parts I-II'!$P56&lt;250),50,IF(AND('Stream Parts I-II'!$P56&gt;=250,'Stream Parts I-II'!$P56&lt;500),25,IF('Stream Parts I-II'!$P56&gt;=500,0,"Check Data")))))</f>
        <v/>
      </c>
      <c r="L41" s="537" t="str">
        <f>IF('Stream Parts I-II'!$AE35=FALSE,"N/A",IF('Stream Parts I-II'!$U56="","Enter a number 0 or greater.",IF(AND('Stream Parts I-II'!$U56&gt;=0,'Stream Parts I-II'!$U56&lt;55),"&lt;55 = 80 points",IF(AND('Stream Parts I-II'!$U56&gt;=55,'Stream Parts I-II'!$U56&lt;250),"55-249 = 50 points",IF(AND('Stream Parts I-II'!$U56&gt;=250,'Stream Parts I-II'!$U56&lt;500),"250-499 = 25 points",IF('Stream Parts I-II'!$U56&gt;=500,"500 or greater = 0 points","Check Data"))))))</f>
        <v>N/A</v>
      </c>
      <c r="M41" s="538" t="str">
        <f>IF('Stream Parts I-II'!$U56="","",IF(AND('Stream Parts I-II'!$U56&gt;=0,'Stream Parts I-II'!$U56&lt;55),80,IF(AND('Stream Parts I-II'!$U56&gt;=55,'Stream Parts I-II'!$U56&lt;250),50,IF(AND('Stream Parts I-II'!$U56&gt;=250,'Stream Parts I-II'!$U56&lt;500),25,IF('Stream Parts I-II'!$U56&gt;=500,0,"Check Data")))))</f>
        <v/>
      </c>
      <c r="N41" s="537" t="str">
        <f>IF('Stream Parts I-II'!$AE35=FALSE,"N/A",IF('Stream Parts I-II'!$AA56="","Enter a number 0 or greater.",IF(AND('Stream Parts I-II'!$AA56&gt;=0,'Stream Parts I-II'!$AA56&lt;55),"&lt;55 = 80 points",IF(AND('Stream Parts I-II'!$AA56&gt;=55,'Stream Parts I-II'!$AA56&lt;250),"55-249 = 50 points",IF(AND('Stream Parts I-II'!$AA56&gt;=250,'Stream Parts I-II'!$AA56&lt;500),"250-499 = 25 points",IF('Stream Parts I-II'!$AA56&gt;=500,"500 or greater = 0 points","Check Data"))))))</f>
        <v>N/A</v>
      </c>
      <c r="O41" s="538" t="str">
        <f>IF('Stream Parts I-II'!$AA56="","",IF(AND('Stream Parts I-II'!$AA56&gt;=0,'Stream Parts I-II'!$AA56&lt;55),80,IF(AND('Stream Parts I-II'!$AA56&gt;=55,'Stream Parts I-II'!$U56&lt;250),50,IF(AND('Stream Parts I-II'!$AA56&gt;=250,'Stream Parts I-II'!$AA56&lt;500),25,IF('Stream Parts I-II'!$AA56&gt;=500,0,"Check Data")))))</f>
        <v/>
      </c>
      <c r="S41" s="282" t="s">
        <v>289</v>
      </c>
      <c r="T41" s="107">
        <v>0.2</v>
      </c>
    </row>
    <row r="42" spans="2:20" x14ac:dyDescent="0.25">
      <c r="B42" s="534">
        <v>-2</v>
      </c>
      <c r="E42" s="409" t="s">
        <v>178</v>
      </c>
      <c r="F42" s="537" t="str">
        <f>IF('Stream Parts I-II'!$AD35=FALSE,"N/A",IF('Stream Parts I-II'!$E56="","Enter a number 0 or greater.",IF(AND('Stream Parts I-II'!$E56&gt;=0,'Stream Parts I-II'!$E56&lt;55),"&lt;55 = 80 points",IF(AND('Stream Parts I-II'!$E56&gt;=55,'Stream Parts I-II'!$E56&lt;250),"55-249 = 50 points",IF(AND('Stream Parts I-II'!$E56&gt;=250,'Stream Parts I-II'!$E56&lt;500),"250-499 = 25 points",IF('Stream Parts I-II'!$E56&gt;=500,"500 or greater = 0 points","Check Data"))))))</f>
        <v>N/A</v>
      </c>
      <c r="G42" s="538" t="str">
        <f>IF('Stream Parts I-II'!$E56="","",IF(AND('Stream Parts I-II'!$E56&gt;=0,'Stream Parts I-II'!$E56&lt;55),80,IF(AND('Stream Parts I-II'!$E56&gt;=55,'Stream Parts I-II'!$E56&lt;250),50,IF(AND('Stream Parts I-II'!$E56&gt;=250,'Stream Parts I-II'!$E56&lt;500),25,IF('Stream Parts I-II'!$E56&gt;=500,0,"Check Data")))))</f>
        <v/>
      </c>
      <c r="H42" s="537" t="str">
        <f>IF('Stream Parts I-II'!$AE35=FALSE,"N/A",IF('Stream Parts I-II'!$J56="","Enter a number 0 or greater.",IF(AND('Stream Parts I-II'!$J56&gt;=0,'Stream Parts I-II'!$J56&lt;55),"&lt;55 = 80 points",IF(AND('Stream Parts I-II'!$J56&gt;=55,'Stream Parts I-II'!$J56&lt;250),"55-249 = 50 points",IF(AND('Stream Parts I-II'!$J56&gt;=250,'Stream Parts I-II'!$J56&lt;500),"250-499 = 25 points",IF('Stream Parts I-II'!$J56&gt;=500,"500 or greater = 0 points","Check Data"))))))</f>
        <v>N/A</v>
      </c>
      <c r="I42" s="538" t="str">
        <f>IF('Stream Parts I-II'!$J56="","",IF(AND('Stream Parts I-II'!$J56&gt;=0,'Stream Parts I-II'!$J56&lt;55),80,IF(AND('Stream Parts I-II'!$J56&gt;=55,'Stream Parts I-II'!$J56&lt;250),50,IF(AND('Stream Parts I-II'!$J56&gt;=250,'Stream Parts I-II'!$J56&lt;500),25,IF('Stream Parts I-II'!$J56&gt;=500,0,"Check Data")))))</f>
        <v/>
      </c>
      <c r="J42" s="537" t="str">
        <f>IF('Stream Parts I-II'!$AE35=FALSE,"N/A",IF('Stream Parts I-II'!$P56="","Enter a number 0 or greater.",IF(AND('Stream Parts I-II'!$P56&gt;=0,'Stream Parts I-II'!$P56&lt;55),"&lt;55 = 80 points",IF(AND('Stream Parts I-II'!$P56&gt;=55,'Stream Parts I-II'!$P56&lt;250),"55-249 = 50 points",IF(AND('Stream Parts I-II'!$P56&gt;=250,'Stream Parts I-II'!$P56&lt;500),"250-499 = 25 points",IF('Stream Parts I-II'!$P56&gt;=500,"500 or greater = 0 points","Check Data"))))))</f>
        <v>N/A</v>
      </c>
      <c r="K42" s="538" t="str">
        <f>IF('Stream Parts I-II'!$P56="","",IF(AND('Stream Parts I-II'!$P56&gt;=0,'Stream Parts I-II'!$P56&lt;55),80,IF(AND('Stream Parts I-II'!$P56&gt;=55,'Stream Parts I-II'!$P56&lt;250),50,IF(AND('Stream Parts I-II'!$P56&gt;=250,'Stream Parts I-II'!$P56&lt;500),25,IF('Stream Parts I-II'!$P56&gt;=500,0,"Check Data")))))</f>
        <v/>
      </c>
      <c r="L42" s="537" t="str">
        <f>IF('Stream Parts I-II'!$AE35=FALSE,"N/A",IF('Stream Parts I-II'!$U56="","Enter a number 0 or greater.",IF(AND('Stream Parts I-II'!$U56&gt;=0,'Stream Parts I-II'!$U56&lt;55),"&lt;55 = 80 points",IF(AND('Stream Parts I-II'!$U56&gt;=55,'Stream Parts I-II'!$U56&lt;250),"55-249 = 50 points",IF(AND('Stream Parts I-II'!$U56&gt;=250,'Stream Parts I-II'!$U56&lt;500),"250-499 = 25 points",IF('Stream Parts I-II'!$U56&gt;=500,"500 or greater = 0 points","Check Data"))))))</f>
        <v>N/A</v>
      </c>
      <c r="M42" s="538" t="str">
        <f>IF('Stream Parts I-II'!$U56="","",IF(AND('Stream Parts I-II'!$U56&gt;=0,'Stream Parts I-II'!$U56&lt;55),80,IF(AND('Stream Parts I-II'!$U56&gt;=55,'Stream Parts I-II'!$U56&lt;250),50,IF(AND('Stream Parts I-II'!$U56&gt;=250,'Stream Parts I-II'!$U56&lt;500),25,IF('Stream Parts I-II'!$U56&gt;=500,0,"Check Data")))))</f>
        <v/>
      </c>
      <c r="N42" s="537" t="str">
        <f>IF('Stream Parts I-II'!$AE35=FALSE,"N/A",IF('Stream Parts I-II'!$AA56="","Enter a number 0 or greater.",IF(AND('Stream Parts I-II'!$AA56&gt;=0,'Stream Parts I-II'!$AA56&lt;55),"&lt;55 = 80 points",IF(AND('Stream Parts I-II'!$AA56&gt;=55,'Stream Parts I-II'!$AA56&lt;250),"55-249 = 50 points",IF(AND('Stream Parts I-II'!$AA56&gt;=250,'Stream Parts I-II'!$AA56&lt;500),"250-499 = 25 points",IF('Stream Parts I-II'!$AA56&gt;=500,"500 or greater = 0 points","Check Data"))))))</f>
        <v>N/A</v>
      </c>
      <c r="O42" s="538" t="str">
        <f>IF('Stream Parts I-II'!$AA56="","",IF(AND('Stream Parts I-II'!$AA56&gt;=0,'Stream Parts I-II'!$AA56&lt;55),80,IF(AND('Stream Parts I-II'!$AA56&gt;=55,'Stream Parts I-II'!$AA56&lt;250),50,IF(AND('Stream Parts I-II'!$AA56&gt;=250,'Stream Parts I-II'!$AA56&lt;500),25,IF('Stream Parts I-II'!$AA56&gt;=500,0,"Check Data")))))</f>
        <v/>
      </c>
      <c r="S42" s="282" t="s">
        <v>290</v>
      </c>
      <c r="T42" s="107">
        <v>0.2</v>
      </c>
    </row>
    <row r="43" spans="2:20" x14ac:dyDescent="0.25">
      <c r="B43" s="534">
        <v>-1</v>
      </c>
      <c r="E43" s="409" t="s">
        <v>179</v>
      </c>
      <c r="F43" s="537" t="str">
        <f>IF('Stream Parts I-II'!$AD35=FALSE,"N/A",IF('Stream Parts I-II'!$E56="","Enter a number 0 or greater.",IF(AND('Stream Parts I-II'!$E56&gt;=0,'Stream Parts I-II'!$E56&lt;55),"&lt;55 = 80 points",IF(AND('Stream Parts I-II'!$E56&gt;=55,'Stream Parts I-II'!$E56&lt;250),"55-249 = 50 points",IF(AND('Stream Parts I-II'!$E56&gt;=250,'Stream Parts I-II'!$E56&lt;500),"250-499 = 25 points",IF('Stream Parts I-II'!$E56&gt;=500,"500 or greater = 0 points","Check Data"))))))</f>
        <v>N/A</v>
      </c>
      <c r="G43" s="538" t="str">
        <f>IF('Stream Parts I-II'!$E56="","",IF(AND('Stream Parts I-II'!$E56&gt;=0,'Stream Parts I-II'!$E56&lt;55),80,IF(AND('Stream Parts I-II'!$E56&gt;=55,'Stream Parts I-II'!$E56&lt;250),50,IF(AND('Stream Parts I-II'!$E56&gt;=250,'Stream Parts I-II'!$E56&lt;500),25,IF('Stream Parts I-II'!$E56&gt;=500,0,"Check Data")))))</f>
        <v/>
      </c>
      <c r="H43" s="537" t="str">
        <f>IF('Stream Parts I-II'!$AE35=FALSE,"N/A",IF('Stream Parts I-II'!$J56="","Enter a number 0 or greater.",IF(AND('Stream Parts I-II'!$J56&gt;=0,'Stream Parts I-II'!$J56&lt;55),"&lt;55 = 80 points",IF(AND('Stream Parts I-II'!$J56&gt;=55,'Stream Parts I-II'!$J56&lt;250),"55-249 = 50 points",IF(AND('Stream Parts I-II'!$J56&gt;=250,'Stream Parts I-II'!$J56&lt;500),"250-499 = 25 points",IF('Stream Parts I-II'!$J56&gt;=500,"500 or greater = 0 points","Check Data"))))))</f>
        <v>N/A</v>
      </c>
      <c r="I43" s="538" t="str">
        <f>IF('Stream Parts I-II'!$J56="","",IF(AND('Stream Parts I-II'!$J56&gt;=0,'Stream Parts I-II'!$J56&lt;55),80,IF(AND('Stream Parts I-II'!$J56&gt;=55,'Stream Parts I-II'!$J56&lt;250),50,IF(AND('Stream Parts I-II'!$J56&gt;=250,'Stream Parts I-II'!$J56&lt;500),25,IF('Stream Parts I-II'!$J56&gt;=500,0,"Check Data")))))</f>
        <v/>
      </c>
      <c r="J43" s="537" t="str">
        <f>IF('Stream Parts I-II'!$AE35=FALSE,"N/A",IF('Stream Parts I-II'!$P56="","Enter a number 0 or greater.",IF(AND('Stream Parts I-II'!$P56&gt;=0,'Stream Parts I-II'!$P56&lt;55),"&lt;55 = 80 points",IF(AND('Stream Parts I-II'!$P56&gt;=55,'Stream Parts I-II'!$P56&lt;250),"55-249 = 50 points",IF(AND('Stream Parts I-II'!$P56&gt;=250,'Stream Parts I-II'!$P56&lt;500),"250-499 = 25 points",IF('Stream Parts I-II'!$P56&gt;=500,"500 or greater = 0 points","Check Data"))))))</f>
        <v>N/A</v>
      </c>
      <c r="K43" s="538" t="str">
        <f>IF('Stream Parts I-II'!$P56="","",IF(AND('Stream Parts I-II'!$P56&gt;=0,'Stream Parts I-II'!$P56&lt;55),80,IF(AND('Stream Parts I-II'!$P56&gt;=55,'Stream Parts I-II'!$P56&lt;250),50,IF(AND('Stream Parts I-II'!$P56&gt;=250,'Stream Parts I-II'!$P56&lt;500),25,IF('Stream Parts I-II'!$P56&gt;=500,0,"Check Data")))))</f>
        <v/>
      </c>
      <c r="L43" s="537" t="str">
        <f>IF('Stream Parts I-II'!$AE35=FALSE,"N/A",IF('Stream Parts I-II'!$U56="","Enter a number 0 or greater.",IF(AND('Stream Parts I-II'!$U56&gt;=0,'Stream Parts I-II'!$U56&lt;55),"&lt;55 = 80 points",IF(AND('Stream Parts I-II'!$U56&gt;=55,'Stream Parts I-II'!$U56&lt;250),"55-249 = 50 points",IF(AND('Stream Parts I-II'!$U56&gt;=250,'Stream Parts I-II'!$U56&lt;500),"250-499 = 25 points",IF('Stream Parts I-II'!$U56&gt;=500,"500 or greater = 0 points","Check Data"))))))</f>
        <v>N/A</v>
      </c>
      <c r="M43" s="538" t="str">
        <f>IF('Stream Parts I-II'!$U56="","",IF(AND('Stream Parts I-II'!$U56&gt;=0,'Stream Parts I-II'!$U56&lt;55),80,IF(AND('Stream Parts I-II'!$U56&gt;=55,'Stream Parts I-II'!$U56&lt;250),50,IF(AND('Stream Parts I-II'!$U56&gt;=250,'Stream Parts I-II'!$U56&lt;500),25,IF('Stream Parts I-II'!$U56&gt;=500,0,"Check Data")))))</f>
        <v/>
      </c>
      <c r="N43" s="537" t="str">
        <f>IF('Stream Parts I-II'!$AE35=FALSE,"N/A",IF('Stream Parts I-II'!$AA56="","Enter a number 0 or greater.",IF(AND('Stream Parts I-II'!$AA56&gt;=0,'Stream Parts I-II'!$AA56&lt;55),"&lt;55 = 80 points",IF(AND('Stream Parts I-II'!$AA56&gt;=55,'Stream Parts I-II'!$AA56&lt;250),"55-249 = 50 points",IF(AND('Stream Parts I-II'!$AA56&gt;=250,'Stream Parts I-II'!$AA56&lt;500),"250-499 = 25 points",IF('Stream Parts I-II'!$AA56&gt;=500,"500 or greater = 0 points","Check Data"))))))</f>
        <v>N/A</v>
      </c>
      <c r="O43" s="538" t="str">
        <f>IF('Stream Parts I-II'!$AA56="","",IF(AND('Stream Parts I-II'!$AA56&gt;=0,'Stream Parts I-II'!$AA56&lt;55),80,IF(AND('Stream Parts I-II'!$AA56&gt;=55,'Stream Parts I-II'!$AA56&lt;250),50,IF(AND('Stream Parts I-II'!$AA56&gt;=250,'Stream Parts I-II'!$AA56&lt;500),25,IF('Stream Parts I-II'!$AA56&gt;=500,0,"Check Data")))))</f>
        <v/>
      </c>
      <c r="S43" s="282" t="s">
        <v>291</v>
      </c>
      <c r="T43" s="107">
        <v>0.2</v>
      </c>
    </row>
    <row r="44" spans="2:20" x14ac:dyDescent="0.25">
      <c r="B44" s="553">
        <v>0</v>
      </c>
      <c r="E44" s="409" t="s">
        <v>180</v>
      </c>
      <c r="F44" s="537" t="str">
        <f>IF('Stream Parts I-II'!$AD35=FALSE,"N/A",IF('Stream Parts I-II'!$E56="","Enter a number 0 or greater.",IF(AND('Stream Parts I-II'!$E56&gt;=0,'Stream Parts I-II'!$E56&lt;55),"&lt;55 = 80 points",IF(AND('Stream Parts I-II'!$E56&gt;=55,'Stream Parts I-II'!$E56&lt;250),"55-249 = 50 points",IF(AND('Stream Parts I-II'!$E56&gt;=250,'Stream Parts I-II'!$E56&lt;600),"250-599 = 25 points",IF('Stream Parts I-II'!$E56&gt;=600,"600 or greater = 0 points","Check Data"))))))</f>
        <v>N/A</v>
      </c>
      <c r="G44" s="538" t="str">
        <f>IF('Stream Parts I-II'!$E56="","",IF(AND('Stream Parts I-II'!$E56&gt;=0,'Stream Parts I-II'!$E56&lt;55),80,IF(AND('Stream Parts I-II'!$E56&gt;=55,'Stream Parts I-II'!$E56&lt;250),50,IF(AND('Stream Parts I-II'!$E56&gt;=250,'Stream Parts I-II'!$E56&lt;600),25,IF('Stream Parts I-II'!$E56&gt;=600,0,"Check Data")))))</f>
        <v/>
      </c>
      <c r="H44" s="537" t="str">
        <f>IF('Stream Parts I-II'!$AE35=FALSE,"N/A",IF('Stream Parts I-II'!$J56="","Enter a number 0 or greater.",IF(AND('Stream Parts I-II'!$J56&gt;=0,'Stream Parts I-II'!$J56&lt;55),"&lt;55 = 80 points",IF(AND('Stream Parts I-II'!$J56&gt;=55,'Stream Parts I-II'!$J56&lt;250),"55-249 = 50 points",IF(AND('Stream Parts I-II'!$J56&gt;=250,'Stream Parts I-II'!$J56&lt;600),"250-599 = 25 points",IF('Stream Parts I-II'!$J56&gt;=600,"600 or greater = 0 points","Check Data"))))))</f>
        <v>N/A</v>
      </c>
      <c r="I44" s="538" t="str">
        <f>IF('Stream Parts I-II'!$J56="","",IF(AND('Stream Parts I-II'!$J56&gt;=0,'Stream Parts I-II'!$J56&lt;55),80,IF(AND('Stream Parts I-II'!$J56&gt;=55,'Stream Parts I-II'!$J56&lt;250),50,IF(AND('Stream Parts I-II'!$J56&gt;=250,'Stream Parts I-II'!$J56&lt;600),25,IF('Stream Parts I-II'!$J56&gt;=600,0,"Check Data")))))</f>
        <v/>
      </c>
      <c r="J44" s="537" t="str">
        <f>IF('Stream Parts I-II'!$AE35=FALSE,"N/A",IF('Stream Parts I-II'!$P56="","Enter a number 0 or greater.",IF(AND('Stream Parts I-II'!$P56&gt;=0,'Stream Parts I-II'!$P56&lt;55),"&lt;55 = 80 points",IF(AND('Stream Parts I-II'!$P56&gt;=55,'Stream Parts I-II'!$P56&lt;250),"55-249 = 50 points",IF(AND('Stream Parts I-II'!$P56&gt;=250,'Stream Parts I-II'!$P56&lt;600),"250-599 = 25 points",IF('Stream Parts I-II'!$P56&gt;=600,"600 or greater = 0 points","Check Data"))))))</f>
        <v>N/A</v>
      </c>
      <c r="K44" s="538" t="str">
        <f>IF('Stream Parts I-II'!$P56="","",IF(AND('Stream Parts I-II'!$P56&gt;=0,'Stream Parts I-II'!$P56&lt;55),80,IF(AND('Stream Parts I-II'!$P56&gt;=55,'Stream Parts I-II'!$P56&lt;250),50,IF(AND('Stream Parts I-II'!$P56&gt;=250,'Stream Parts I-II'!$P56&lt;600),25,IF('Stream Parts I-II'!$P56&gt;=600,0,"Check Data")))))</f>
        <v/>
      </c>
      <c r="L44" s="537" t="str">
        <f>IF('Stream Parts I-II'!$AE35=FALSE,"N/A",IF('Stream Parts I-II'!$U56="","Enter a number 0 or greater.",IF(AND('Stream Parts I-II'!$U56&gt;=0,'Stream Parts I-II'!$U56&lt;55),"&lt;55 = 80 points",IF(AND('Stream Parts I-II'!$U56&gt;=55,'Stream Parts I-II'!$U56&lt;250),"55-249 = 50 points",IF(AND('Stream Parts I-II'!$U56&gt;=250,'Stream Parts I-II'!$U56&lt;600),"250-599 = 25 points",IF('Stream Parts I-II'!$U56&gt;=600,"600 or greater = 0 points","Check Data"))))))</f>
        <v>N/A</v>
      </c>
      <c r="M44" s="538" t="str">
        <f>IF('Stream Parts I-II'!$U56="","",IF(AND('Stream Parts I-II'!$U56&gt;=0,'Stream Parts I-II'!$U56&lt;55),80,IF(AND('Stream Parts I-II'!$U56&gt;=55,'Stream Parts I-II'!$U56&lt;250),50,IF(AND('Stream Parts I-II'!$U56&gt;=250,'Stream Parts I-II'!$U56&lt;600),25,IF('Stream Parts I-II'!$U56&gt;=600,0,"Check Data")))))</f>
        <v/>
      </c>
      <c r="N44" s="537" t="str">
        <f>IF('Stream Parts I-II'!$AE35=FALSE,"N/A",IF('Stream Parts I-II'!$AA56="","Enter a number 0 or greater.",IF(AND('Stream Parts I-II'!$AA56&gt;=0,'Stream Parts I-II'!$AA56&lt;55),"&lt;55 = 80 points",IF(AND('Stream Parts I-II'!$AA56&gt;=55,'Stream Parts I-II'!$AA56&lt;250),"55-249 = 50 points",IF(AND('Stream Parts I-II'!$AA56&gt;=250,'Stream Parts I-II'!$AA56&lt;600),"250-599 = 25 points",IF('Stream Parts I-II'!$AA56&gt;=600,"600 or greater = 0 points","Check Data"))))))</f>
        <v>N/A</v>
      </c>
      <c r="O44" s="538" t="str">
        <f>IF('Stream Parts I-II'!$AA56="","",IF(AND('Stream Parts I-II'!$AA56&gt;=0,'Stream Parts I-II'!$AA56&lt;55),80,IF(AND('Stream Parts I-II'!$AA56&gt;=55,'Stream Parts I-II'!$AA56&lt;250),50,IF(AND('Stream Parts I-II'!$AA56&gt;=250,'Stream Parts I-II'!$AA56&lt;600),25,IF('Stream Parts I-II'!$AA56&gt;=600,0,"Check Data")))))</f>
        <v/>
      </c>
      <c r="S44" s="282" t="s">
        <v>292</v>
      </c>
      <c r="T44" s="107">
        <v>0.2</v>
      </c>
    </row>
    <row r="45" spans="2:20" ht="13.8" thickBot="1" x14ac:dyDescent="0.3">
      <c r="B45" s="534">
        <v>1</v>
      </c>
      <c r="E45" s="409" t="s">
        <v>181</v>
      </c>
      <c r="F45" s="539" t="str">
        <f>IF('Stream Parts I-II'!$AD35=FALSE,"N/A",IF('Stream Parts I-II'!$E56="","Enter a number 0 or greater.",IF(AND('Stream Parts I-II'!$E56&gt;=0,'Stream Parts I-II'!$E56&lt;55),"&lt;55 = 80 points",IF(AND('Stream Parts I-II'!$E56&gt;=55,'Stream Parts I-II'!$E56&lt;250),"55-249 = 50 points",IF(AND('Stream Parts I-II'!$E56&gt;=250,'Stream Parts I-II'!$E56&lt;500),"250-499 = 25 points",IF('Stream Parts I-II'!$E56&gt;=500,"500 or greater = 0 points","Check Data"))))))</f>
        <v>N/A</v>
      </c>
      <c r="G45" s="540" t="str">
        <f>IF('Stream Parts I-II'!$E56="","",IF(AND('Stream Parts I-II'!$E56&gt;=0,'Stream Parts I-II'!$E56&lt;55),80,IF(AND('Stream Parts I-II'!$E56&gt;=55,'Stream Parts I-II'!$E56&lt;250),50,IF(AND('Stream Parts I-II'!$E56&gt;=250,'Stream Parts I-II'!$E56&lt;500),25,IF('Stream Parts I-II'!$E56&gt;=500,0,"Check Data")))))</f>
        <v/>
      </c>
      <c r="H45" s="539" t="str">
        <f>IF('Stream Parts I-II'!$AE35=FALSE,"N/A",IF('Stream Parts I-II'!$J56="","Enter a number 0 or greater.",IF(AND('Stream Parts I-II'!$J56&gt;=0,'Stream Parts I-II'!$J56&lt;55),"&lt;55 = 80 points",IF(AND('Stream Parts I-II'!$J56&gt;=55,'Stream Parts I-II'!$J56&lt;250),"55-249 = 50 points",IF(AND('Stream Parts I-II'!$J56&gt;=250,'Stream Parts I-II'!$J56&lt;500),"250-499 = 25 points",IF('Stream Parts I-II'!$J56&gt;=500,"500 or greater = 0 points","Check Data"))))))</f>
        <v>N/A</v>
      </c>
      <c r="I45" s="540" t="str">
        <f>IF('Stream Parts I-II'!$J56="","",IF(AND('Stream Parts I-II'!$J56&gt;=0,'Stream Parts I-II'!$J56&lt;55),80,IF(AND('Stream Parts I-II'!$J56&gt;=55,'Stream Parts I-II'!$J56&lt;250),50,IF(AND('Stream Parts I-II'!$J56&gt;=250,'Stream Parts I-II'!$J56&lt;500),25,IF('Stream Parts I-II'!$J56&gt;=500,0,"Check Data")))))</f>
        <v/>
      </c>
      <c r="J45" s="539" t="str">
        <f>IF('Stream Parts I-II'!$AE35=FALSE,"N/A",IF('Stream Parts I-II'!$P56="","Enter a number 0 or greater.",IF(AND('Stream Parts I-II'!$P56&gt;=0,'Stream Parts I-II'!$P56&lt;55),"&lt;55 = 80 points",IF(AND('Stream Parts I-II'!$P56&gt;=55,'Stream Parts I-II'!$P56&lt;250),"55-249 = 50 points",IF(AND('Stream Parts I-II'!$P56&gt;=250,'Stream Parts I-II'!$P56&lt;500),"250-499 = 25 points",IF('Stream Parts I-II'!$P56&gt;=500,"500 or greater = 0 points","Check Data"))))))</f>
        <v>N/A</v>
      </c>
      <c r="K45" s="540" t="str">
        <f>IF('Stream Parts I-II'!$P56="","",IF(AND('Stream Parts I-II'!$P56&gt;=0,'Stream Parts I-II'!$P56&lt;55),80,IF(AND('Stream Parts I-II'!$P56&gt;=55,'Stream Parts I-II'!$P56&lt;250),50,IF(AND('Stream Parts I-II'!$P56&gt;=250,'Stream Parts I-II'!$P56&lt;500),25,IF('Stream Parts I-II'!$P56&gt;=500,0,"Check Data")))))</f>
        <v/>
      </c>
      <c r="L45" s="539" t="str">
        <f>IF('Stream Parts I-II'!$AE35=FALSE,"N/A",IF('Stream Parts I-II'!$U56="","Enter a number 0 or greater.",IF(AND('Stream Parts I-II'!$U56&gt;=0,'Stream Parts I-II'!$U56&lt;55),"&lt;55 = 80 points",IF(AND('Stream Parts I-II'!$U56&gt;=55,'Stream Parts I-II'!$U56&lt;250),"55-249 = 50 points",IF(AND('Stream Parts I-II'!$U56&gt;=250,'Stream Parts I-II'!$U56&lt;500),"250-499 = 25 points",IF('Stream Parts I-II'!$U56&gt;=500,"500 or greater = 0 points","Check Data"))))))</f>
        <v>N/A</v>
      </c>
      <c r="M45" s="540" t="str">
        <f>IF('Stream Parts I-II'!$U56="","",IF(AND('Stream Parts I-II'!$U56&gt;=0,'Stream Parts I-II'!$U56&lt;55),80,IF(AND('Stream Parts I-II'!$U56&gt;=55,'Stream Parts I-II'!$U56&lt;250),50,IF(AND('Stream Parts I-II'!$U56&gt;=250,'Stream Parts I-II'!$U56&lt;500),25,IF('Stream Parts I-II'!$U56&gt;=500,0,"Check Data")))))</f>
        <v/>
      </c>
      <c r="N45" s="539" t="str">
        <f>IF('Stream Parts I-II'!$AE35=FALSE,"N/A",IF('Stream Parts I-II'!$AA56="","Enter a number 0 or greater.",IF(AND('Stream Parts I-II'!$AA56&gt;=0,'Stream Parts I-II'!$AA56&lt;55),"&lt;55 = 80 points",IF(AND('Stream Parts I-II'!$AA56&gt;=55,'Stream Parts I-II'!$AA56&lt;250),"55-249 = 50 points",IF(AND('Stream Parts I-II'!$AA56&gt;=250,'Stream Parts I-II'!$AA56&lt;500),"250-499 = 25 points",IF('Stream Parts I-II'!$AA56&gt;=500,"500 or greater = 0 points","Check Data"))))))</f>
        <v>N/A</v>
      </c>
      <c r="O45" s="540" t="str">
        <f>IF('Stream Parts I-II'!$AA56="","",IF(AND('Stream Parts I-II'!$AA56&gt;=0,'Stream Parts I-II'!$AA56&lt;55),80,IF(AND('Stream Parts I-II'!$AA56&gt;=55,'Stream Parts I-II'!$AA56&lt;250),50,IF(AND('Stream Parts I-II'!$AA56&gt;=250,'Stream Parts I-II'!$AA56&lt;500),25,IF('Stream Parts I-II'!$AA56&gt;=500,0,"Check Data")))))</f>
        <v/>
      </c>
      <c r="S45" s="282" t="s">
        <v>293</v>
      </c>
      <c r="T45" s="107">
        <v>0.2</v>
      </c>
    </row>
    <row r="46" spans="2:20" ht="13.8" thickTop="1" x14ac:dyDescent="0.25">
      <c r="B46" s="534">
        <v>2</v>
      </c>
      <c r="E46" s="534"/>
      <c r="F46" s="541"/>
      <c r="G46" s="542"/>
      <c r="H46" s="541"/>
      <c r="I46" s="542"/>
      <c r="J46" s="541"/>
      <c r="K46" s="542"/>
      <c r="L46" s="541"/>
      <c r="M46" s="542"/>
      <c r="N46" s="541"/>
      <c r="O46" s="542"/>
      <c r="S46" s="282" t="s">
        <v>294</v>
      </c>
      <c r="T46" s="107">
        <v>0.3</v>
      </c>
    </row>
    <row r="47" spans="2:20" x14ac:dyDescent="0.25">
      <c r="B47" s="534">
        <v>3</v>
      </c>
      <c r="E47" s="534"/>
      <c r="F47" s="543" t="s">
        <v>199</v>
      </c>
      <c r="G47" s="542"/>
      <c r="H47" s="1047" t="s">
        <v>255</v>
      </c>
      <c r="I47" s="1048"/>
      <c r="J47" s="1047" t="s">
        <v>256</v>
      </c>
      <c r="K47" s="1048"/>
      <c r="L47" s="1047" t="s">
        <v>257</v>
      </c>
      <c r="M47" s="1048"/>
      <c r="N47" s="1047" t="s">
        <v>258</v>
      </c>
      <c r="O47" s="1048"/>
      <c r="S47" s="282" t="s">
        <v>295</v>
      </c>
      <c r="T47" s="107">
        <v>0.3</v>
      </c>
    </row>
    <row r="48" spans="2:20" x14ac:dyDescent="0.25">
      <c r="B48" s="534">
        <v>4</v>
      </c>
      <c r="E48" s="409" t="s">
        <v>177</v>
      </c>
      <c r="F48" s="535" t="e">
        <f>IF('Stream Parts I-II'!#REF!=FALSE,1,IF(AND('Stream Parts I-II'!$C7="Ephemeral",'Stream Parts I-II'!$AD35=FALSE,'Stream Parts I-II'!$AD65=FALSE),0.625,IF(AND('Stream Parts I-II'!#REF!&lt;=60,'Stream Parts I-II'!#REF!&gt;=45),0.5+0.00833333*'Stream Parts I-II'!#REF!,IF(AND('Stream Parts I-II'!#REF!&gt;=41,'Stream Parts I-II'!#REF!&lt;45),-0.53125+0.03125*'Stream Parts I-II'!#REF!,IF(AND('Stream Parts I-II'!#REF!&gt;=33,'Stream Parts I-II'!#REF!&lt;41),0.109375+0.015625*'Stream Parts I-II'!#REF!,IF(AND('Stream Parts I-II'!#REF!&gt;=29,'Stream Parts I-II'!#REF!&lt;33),-0.40625+0.03125*'Stream Parts I-II'!#REF!,IF(AND('Stream Parts I-II'!#REF!&gt;=21,'Stream Parts I-II'!#REF!&lt;29),0.046875+0.015625*'Stream Parts I-II'!#REF!,IF(AND('Stream Parts I-II'!#REF!&gt;=13,'Stream Parts I-II'!#REF!&lt;21),0.046875+0.015625*'Stream Parts I-II'!#REF!,IF(AND('Stream Parts I-II'!#REF!&gt;=7,'Stream Parts I-II'!#REF!&lt;13),-0.0208333333333+0.02083333333333*'Stream Parts I-II'!#REF!,IF(AND('Stream Parts I-II'!#REF!&gt;=0,'Stream Parts I-II'!#REF!&lt;7),0+0.01785714*'Stream Parts I-II'!#REF!,"Check Data"))))))))))</f>
        <v>#REF!</v>
      </c>
      <c r="G48" s="542"/>
      <c r="H48" s="535" t="str">
        <f>IF(AND('Stream Parts I-II'!$E7="Ephemeral",'Stream Parts I-II'!$AE35=FALSE,'Stream Parts I-II'!$AE65=FALSE),0.625,IF(AND('Stream Parts I-II'!$J67&lt;=60,'Stream Parts I-II'!$J67&gt;=45),0.5+0.00833333*'Stream Parts I-II'!$J67,IF(AND('Stream Parts I-II'!$J67&gt;=41,'Stream Parts I-II'!$J67&lt;45),-0.53125+0.03125*'Stream Parts I-II'!$J67,IF(AND('Stream Parts I-II'!$J67&gt;=33,'Stream Parts I-II'!$J67&lt;41),0.109375+0.015625*'Stream Parts I-II'!$J67,IF(AND('Stream Parts I-II'!$J67&gt;=29,'Stream Parts I-II'!$J67&lt;33),-0.40625+0.03125*'Stream Parts I-II'!$J67,IF(AND('Stream Parts I-II'!$J67&gt;=21,'Stream Parts I-II'!$J67&lt;29),0.046875+0.015625*'Stream Parts I-II'!$J67,IF(AND('Stream Parts I-II'!$J67&gt;=13,'Stream Parts I-II'!$J67&lt;21),0.046875+0.015625*'Stream Parts I-II'!$J67,IF(AND('Stream Parts I-II'!$J67&gt;=7,'Stream Parts I-II'!$J67&lt;13),-0.0208333333333+0.02083333333333*'Stream Parts I-II'!$J67,IF(AND('Stream Parts I-II'!$J67&gt;=0,'Stream Parts I-II'!$J67&lt;7),0+0.01785714*'Stream Parts I-II'!$J67,"Check Data")))))))))</f>
        <v>Check Data</v>
      </c>
      <c r="I48" s="542"/>
      <c r="J48" s="535" t="str">
        <f>IF(AND('Stream Parts I-II'!$E7="Ephemeral",'Stream Parts I-II'!$AE35=FALSE,'Stream Parts I-II'!$AE65=FALSE),0.625,IF(AND('Stream Parts I-II'!$P67&lt;=60,'Stream Parts I-II'!$P67&gt;=45),0.5+0.00833333*'Stream Parts I-II'!$P67,IF(AND('Stream Parts I-II'!$P67&gt;=41,'Stream Parts I-II'!$P67&lt;45),-0.53125+0.03125*'Stream Parts I-II'!$P67,IF(AND('Stream Parts I-II'!$P67&gt;=33,'Stream Parts I-II'!$P67&lt;41),0.109375+0.015625*'Stream Parts I-II'!$P67,IF(AND('Stream Parts I-II'!$P67&gt;=29,'Stream Parts I-II'!$P67&lt;33),-0.40625+0.03125*'Stream Parts I-II'!$P67,IF(AND('Stream Parts I-II'!$P67&gt;=21,'Stream Parts I-II'!$P67&lt;29),0.046875+0.015625*'Stream Parts I-II'!$P67,IF(AND('Stream Parts I-II'!$P67&gt;=13,'Stream Parts I-II'!$P67&lt;21),0.046875+0.015625*'Stream Parts I-II'!$P67,IF(AND('Stream Parts I-II'!$P67&gt;=7,'Stream Parts I-II'!$P67&lt;13),-0.0208333333333+0.02083333333333*'Stream Parts I-II'!$P67,IF(AND('Stream Parts I-II'!$P67&gt;=0,'Stream Parts I-II'!$P67&lt;7),0+0.01785714*'Stream Parts I-II'!$P67,"Check Data")))))))))</f>
        <v>Check Data</v>
      </c>
      <c r="K48" s="542"/>
      <c r="L48" s="535" t="str">
        <f>IF(AND('Stream Parts I-II'!$E7="Ephemeral",'Stream Parts I-II'!$AE35=FALSE,'Stream Parts I-II'!$AE65=FALSE),0.625,IF(AND('Stream Parts I-II'!$U67&lt;=60,'Stream Parts I-II'!$U67&gt;=45),0.5+0.00833333*'Stream Parts I-II'!$U67,IF(AND('Stream Parts I-II'!$U67&gt;=41,'Stream Parts I-II'!$U67&lt;45),-0.53125+0.03125*'Stream Parts I-II'!$U67,IF(AND('Stream Parts I-II'!$U67&gt;=33,'Stream Parts I-II'!$U67&lt;41),0.109375+0.015625*'Stream Parts I-II'!$U67,IF(AND('Stream Parts I-II'!$U67&gt;=29,'Stream Parts I-II'!$U67&lt;33),-0.40625+0.03125*'Stream Parts I-II'!$U67,IF(AND('Stream Parts I-II'!$U67&gt;=21,'Stream Parts I-II'!$U67&lt;29),0.046875+0.015625*'Stream Parts I-II'!$U67,IF(AND('Stream Parts I-II'!$U67&gt;=13,'Stream Parts I-II'!$U67&lt;21),0.046875+0.015625*'Stream Parts I-II'!$U67,IF(AND('Stream Parts I-II'!$U67&gt;=7,'Stream Parts I-II'!$U67&lt;13),-0.0208333333333+0.02083333333333*'Stream Parts I-II'!$U67,IF(AND('Stream Parts I-II'!$U67&gt;=0,'Stream Parts I-II'!$U67&lt;7),0+0.01785714*'Stream Parts I-II'!$U67,"Check Data")))))))))</f>
        <v>Check Data</v>
      </c>
      <c r="M48" s="542"/>
      <c r="N48" s="535" t="str">
        <f>IF(AND('Stream Parts I-II'!$E7="Ephemeral",'Stream Parts I-II'!$AE35=FALSE,'Stream Parts I-II'!$AE65=FALSE),0.625,IF(AND('Stream Parts I-II'!$AA67&lt;=60,'Stream Parts I-II'!$AA67&gt;=45),0.5+0.00833333*'Stream Parts I-II'!$AA67,IF(AND('Stream Parts I-II'!$AA67&gt;=41,'Stream Parts I-II'!$AA67&lt;45),-0.53125+0.03125*'Stream Parts I-II'!$AA67,IF(AND('Stream Parts I-II'!$AA67&gt;=33,'Stream Parts I-II'!$AA67&lt;41),0.109375+0.015625*'Stream Parts I-II'!$AA67,IF(AND('Stream Parts I-II'!$AA67&gt;=29,'Stream Parts I-II'!$AA67&lt;33),-0.40625+0.03125*'Stream Parts I-II'!$AA67,IF(AND('Stream Parts I-II'!$AA67&gt;=21,'Stream Parts I-II'!$AA67&lt;29),0.046875+0.015625*'Stream Parts I-II'!$AA67,IF(AND('Stream Parts I-II'!$AA67&gt;=13,'Stream Parts I-II'!$AA67&lt;21),0.046875+0.015625*'Stream Parts I-II'!$AA67,IF(AND('Stream Parts I-II'!$AA67&gt;=7,'Stream Parts I-II'!$AA67&lt;13),-0.0208333333333+0.02083333333333*'Stream Parts I-II'!$AA67,IF(AND('Stream Parts I-II'!$AA67&gt;=0,'Stream Parts I-II'!$AA67&lt;7),0+0.01785714*'Stream Parts I-II'!$AA67,"Check Data")))))))))</f>
        <v>Check Data</v>
      </c>
      <c r="O48" s="542"/>
      <c r="S48" s="282" t="s">
        <v>296</v>
      </c>
      <c r="T48" s="107">
        <v>0.3</v>
      </c>
    </row>
    <row r="49" spans="2:20" x14ac:dyDescent="0.25">
      <c r="B49" s="534">
        <v>5</v>
      </c>
      <c r="E49" s="409" t="s">
        <v>178</v>
      </c>
      <c r="F49" s="535" t="e">
        <f>IF('Stream Parts I-II'!#REF!=FALSE,1,IF(AND('Stream Parts I-II'!$C7="Ephemeral",'Stream Parts I-II'!$AD35=FALSE,'Stream Parts I-II'!$AD65=FALSE),0.625,IF(AND('Stream Parts I-II'!#REF!&lt;=60,'Stream Parts I-II'!#REF!&gt;=45),0.5+0.00833333*'Stream Parts I-II'!#REF!,IF(AND('Stream Parts I-II'!#REF!&gt;=41,'Stream Parts I-II'!#REF!&lt;45),-0.53125+0.03125*'Stream Parts I-II'!#REF!,IF(AND('Stream Parts I-II'!#REF!&gt;=29,'Stream Parts I-II'!#REF!&lt;41),0.32291667+0.01041667*'Stream Parts I-II'!#REF!,IF(AND('Stream Parts I-II'!#REF!&gt;=25,'Stream Parts I-II'!#REF!&lt;29),-0.28125+0.03125*'Stream Parts I-II'!#REF!,IF(AND('Stream Parts I-II'!#REF!&gt;=21,'Stream Parts I-II'!#REF!&lt;25),-0.28125+0.03125*'Stream Parts I-II'!#REF!,IF(AND('Stream Parts I-II'!#REF!&gt;=13,'Stream Parts I-II'!#REF!&lt;21),0.046875+0.015625*'Stream Parts I-II'!#REF!,IF(AND('Stream Parts I-II'!#REF!&gt;=7,'Stream Parts I-II'!#REF!&lt;13),-0.0208333333333+0.02083333333333*'Stream Parts I-II'!#REF!,IF(AND('Stream Parts I-II'!#REF!&gt;=0,'Stream Parts I-II'!#REF!&lt;7),0+0.01785714*'Stream Parts I-II'!#REF!,"Check Data"))))))))))</f>
        <v>#REF!</v>
      </c>
      <c r="G49" s="542"/>
      <c r="H49" s="535" t="str">
        <f>IF(AND('Stream Parts I-II'!$E7="Ephemeral",'Stream Parts I-II'!$AE35=FALSE,'Stream Parts I-II'!$AE65=FALSE),0.625,IF(AND('Stream Parts I-II'!$J67&lt;=60,'Stream Parts I-II'!$J67&gt;=45),0.5+0.00833333*'Stream Parts I-II'!$J67,IF(AND('Stream Parts I-II'!$J67&gt;=41,'Stream Parts I-II'!$J67&lt;45),-0.53125+0.03125*'Stream Parts I-II'!$J67,IF(AND('Stream Parts I-II'!$J67&gt;=29,'Stream Parts I-II'!$J67&lt;41),0.32291667+0.01041667*'Stream Parts I-II'!$J67,IF(AND('Stream Parts I-II'!$J67&gt;=25,'Stream Parts I-II'!$J67&lt;29),-0.28125+0.03125*'Stream Parts I-II'!$J67,IF(AND('Stream Parts I-II'!$J67&gt;=21,'Stream Parts I-II'!$J67&lt;25),-0.28125+0.03125*'Stream Parts I-II'!$J67,IF(AND('Stream Parts I-II'!$J67&gt;=13,'Stream Parts I-II'!$J67&lt;21),0.046875+0.015625*'Stream Parts I-II'!$J67,IF(AND('Stream Parts I-II'!$J67&gt;=7,'Stream Parts I-II'!$J67&lt;13),-0.0208333333333+0.02083333333333*'Stream Parts I-II'!$J67,IF(AND('Stream Parts I-II'!$J67&gt;=0,'Stream Parts I-II'!$J67&lt;7),0+0.01785714*'Stream Parts I-II'!$J67,"Check Data")))))))))</f>
        <v>Check Data</v>
      </c>
      <c r="I49" s="542"/>
      <c r="J49" s="535" t="str">
        <f>IF(AND('Stream Parts I-II'!$E7="Ephemeral",'Stream Parts I-II'!$AE35=FALSE,'Stream Parts I-II'!$AE65=FALSE),0.625,IF(AND('Stream Parts I-II'!$P67&lt;=60,'Stream Parts I-II'!$P67&gt;=45),0.5+0.00833333*'Stream Parts I-II'!$P67,IF(AND('Stream Parts I-II'!$P67&gt;=41,'Stream Parts I-II'!$P67&lt;45),-0.53125+0.03125*'Stream Parts I-II'!$P67,IF(AND('Stream Parts I-II'!$P67&gt;=29,'Stream Parts I-II'!$P67&lt;41),0.32291667+0.01041667*'Stream Parts I-II'!$P67,IF(AND('Stream Parts I-II'!$P67&gt;=25,'Stream Parts I-II'!$P67&lt;29),-0.28125+0.03125*'Stream Parts I-II'!$P67,IF(AND('Stream Parts I-II'!$P67&gt;=21,'Stream Parts I-II'!$P67&lt;25),-0.28125+0.03125*'Stream Parts I-II'!$P67,IF(AND('Stream Parts I-II'!$P67&gt;=13,'Stream Parts I-II'!$P67&lt;21),0.046875+0.015625*'Stream Parts I-II'!$P67,IF(AND('Stream Parts I-II'!$P67&gt;=7,'Stream Parts I-II'!$P67&lt;13),-0.0208333333333+0.02083333333333*'Stream Parts I-II'!$P67,IF(AND('Stream Parts I-II'!$P67&gt;=0,'Stream Parts I-II'!$P67&lt;7),0+0.01785714*'Stream Parts I-II'!$P67,"Check Data")))))))))</f>
        <v>Check Data</v>
      </c>
      <c r="K49" s="542"/>
      <c r="L49" s="535" t="str">
        <f>IF(AND('Stream Parts I-II'!$E7="Ephemeral",'Stream Parts I-II'!$AE35=FALSE,'Stream Parts I-II'!$AE65=FALSE),0.625,IF(AND('Stream Parts I-II'!$U67&lt;=60,'Stream Parts I-II'!$U67&gt;=45),0.5+0.00833333*'Stream Parts I-II'!$U67,IF(AND('Stream Parts I-II'!$U67&gt;=41,'Stream Parts I-II'!$U67&lt;45),-0.53125+0.03125*'Stream Parts I-II'!$U67,IF(AND('Stream Parts I-II'!$U67&gt;=29,'Stream Parts I-II'!$U67&lt;41),0.32291667+0.01041667*'Stream Parts I-II'!$U67,IF(AND('Stream Parts I-II'!$U67&gt;=25,'Stream Parts I-II'!$U67&lt;29),-0.28125+0.03125*'Stream Parts I-II'!$U67,IF(AND('Stream Parts I-II'!$U67&gt;=21,'Stream Parts I-II'!$U67&lt;25),-0.28125+0.03125*'Stream Parts I-II'!$U67,IF(AND('Stream Parts I-II'!$U67&gt;=13,'Stream Parts I-II'!$U67&lt;21),0.046875+0.015625*'Stream Parts I-II'!$U67,IF(AND('Stream Parts I-II'!$U67&gt;=7,'Stream Parts I-II'!$U67&lt;13),-0.0208333333333+0.02083333333333*'Stream Parts I-II'!$U67,IF(AND('Stream Parts I-II'!$U67&gt;=0,'Stream Parts I-II'!$U67&lt;7),0+0.01785714*'Stream Parts I-II'!$U67,"Check Data")))))))))</f>
        <v>Check Data</v>
      </c>
      <c r="M49" s="542"/>
      <c r="N49" s="535" t="str">
        <f>IF(AND('Stream Parts I-II'!$E7="Ephemeral",'Stream Parts I-II'!$AE35=FALSE,'Stream Parts I-II'!$AE65=FALSE),0.625,IF(AND('Stream Parts I-II'!$AA67&lt;=60,'Stream Parts I-II'!$AA67&gt;=45),0.5+0.00833333*'Stream Parts I-II'!$AA67,IF(AND('Stream Parts I-II'!$AA67&gt;=41,'Stream Parts I-II'!$AA67&lt;45),-0.53125+0.03125*'Stream Parts I-II'!$AA67,IF(AND('Stream Parts I-II'!$AA67&gt;=29,'Stream Parts I-II'!$AA67&lt;41),0.32291667+0.01041667*'Stream Parts I-II'!$AA67,IF(AND('Stream Parts I-II'!$AA67&gt;=25,'Stream Parts I-II'!$AA67&lt;29),-0.28125+0.03125*'Stream Parts I-II'!$AA67,IF(AND('Stream Parts I-II'!$AA67&gt;=21,'Stream Parts I-II'!$AA67&lt;25),-0.28125+0.03125*'Stream Parts I-II'!$AA67,IF(AND('Stream Parts I-II'!$AA67&gt;=13,'Stream Parts I-II'!$AA67&lt;21),0.046875+0.015625*'Stream Parts I-II'!$AA67,IF(AND('Stream Parts I-II'!$AA67&gt;=7,'Stream Parts I-II'!$AA67&lt;13),-0.0208333333333+0.02083333333333*'Stream Parts I-II'!$AA67,IF(AND('Stream Parts I-II'!$AA67&gt;=0,'Stream Parts I-II'!$AA67&lt;7),0+0.01785714*'Stream Parts I-II'!$AA67,"Check Data")))))))))</f>
        <v>Check Data</v>
      </c>
      <c r="O49" s="542"/>
      <c r="S49" s="282" t="s">
        <v>297</v>
      </c>
      <c r="T49" s="107">
        <v>0.3</v>
      </c>
    </row>
    <row r="50" spans="2:20" x14ac:dyDescent="0.25">
      <c r="B50" s="534">
        <v>6</v>
      </c>
      <c r="E50" s="409" t="s">
        <v>179</v>
      </c>
      <c r="F50" s="535" t="e">
        <f>IF('Stream Parts I-II'!#REF!=FALSE,1,IF(AND('Stream Parts I-II'!$C7="Ephemeral",'Stream Parts I-II'!$AD35=FALSE,'Stream Parts I-II'!$AD65=FALSE),0.625,IF(AND('Stream Parts I-II'!#REF!&lt;=60,'Stream Parts I-II'!#REF!&gt;=45),0.5+0.00833333*'Stream Parts I-II'!#REF!,IF(AND('Stream Parts I-II'!#REF!&gt;=41,'Stream Parts I-II'!#REF!&lt;45),-0.53125+0.03125*'Stream Parts I-II'!#REF!,IF(AND('Stream Parts I-II'!#REF!&gt;=33,'Stream Parts I-II'!#REF!&lt;41),0.109375+0.015625*'Stream Parts I-II'!#REF!,IF(AND('Stream Parts I-II'!#REF!&gt;=29,'Stream Parts I-II'!#REF!&lt;33),-0.40625+0.03125*'Stream Parts I-II'!#REF!,IF(AND('Stream Parts I-II'!#REF!&gt;=21,'Stream Parts I-II'!#REF!&lt;29),0.046875+0.015625*'Stream Parts I-II'!#REF!,IF(AND('Stream Parts I-II'!#REF!&gt;=13,'Stream Parts I-II'!#REF!&lt;21),0.046875+0.015625*'Stream Parts I-II'!#REF!,IF(AND('Stream Parts I-II'!#REF!&gt;=7,'Stream Parts I-II'!#REF!&lt;13),-0.0208333333333+0.02083333333333*'Stream Parts I-II'!#REF!,IF(AND('Stream Parts I-II'!#REF!&gt;=0,'Stream Parts I-II'!#REF!&lt;7),0+0.01785714*'Stream Parts I-II'!#REF!,"Check Data"))))))))))</f>
        <v>#REF!</v>
      </c>
      <c r="G50" s="542"/>
      <c r="H50" s="535" t="str">
        <f>IF(AND('Stream Parts I-II'!$E7="Ephemeral",'Stream Parts I-II'!$AE35=FALSE,'Stream Parts I-II'!$AE65=FALSE),0.625,IF(AND('Stream Parts I-II'!$J67&lt;=60,'Stream Parts I-II'!$J67&gt;=45),0.5+0.00833333*'Stream Parts I-II'!$J67,IF(AND('Stream Parts I-II'!$J67&gt;=41,'Stream Parts I-II'!$J67&lt;45),-0.53125+0.03125*'Stream Parts I-II'!$J67,IF(AND('Stream Parts I-II'!$J67&gt;=33,'Stream Parts I-II'!$J67&lt;41),0.109375+0.015625*'Stream Parts I-II'!$J67,IF(AND('Stream Parts I-II'!$J67&gt;=29,'Stream Parts I-II'!$J67&lt;33),-0.40625+0.03125*'Stream Parts I-II'!$J67,IF(AND('Stream Parts I-II'!$J67&gt;=21,'Stream Parts I-II'!$J67&lt;29),0.046875+0.015625*'Stream Parts I-II'!$J67,IF(AND('Stream Parts I-II'!$J67&gt;=13,'Stream Parts I-II'!$J67&lt;21),0.046875+0.015625*'Stream Parts I-II'!$J67,IF(AND('Stream Parts I-II'!$J67&gt;=7,'Stream Parts I-II'!$J67&lt;13),-0.0208333333333+0.02083333333333*'Stream Parts I-II'!$J67,IF(AND('Stream Parts I-II'!$J67&gt;=0,'Stream Parts I-II'!$J67&lt;7),0+0.01785714*'Stream Parts I-II'!$J67,"Check Data")))))))))</f>
        <v>Check Data</v>
      </c>
      <c r="I50" s="542"/>
      <c r="J50" s="535" t="str">
        <f>IF(AND('Stream Parts I-II'!$E7="Ephemeral",'Stream Parts I-II'!$AE35=FALSE,'Stream Parts I-II'!$AE65=FALSE),0.625,IF(AND('Stream Parts I-II'!$P67&lt;=60,'Stream Parts I-II'!$P67&gt;=45),0.5+0.00833333*'Stream Parts I-II'!$P67,IF(AND('Stream Parts I-II'!$P67&gt;=41,'Stream Parts I-II'!$P67&lt;45),-0.53125+0.03125*'Stream Parts I-II'!$P67,IF(AND('Stream Parts I-II'!$P67&gt;=33,'Stream Parts I-II'!$P67&lt;41),0.109375+0.015625*'Stream Parts I-II'!$P67,IF(AND('Stream Parts I-II'!$P67&gt;=29,'Stream Parts I-II'!$P67&lt;33),-0.40625+0.03125*'Stream Parts I-II'!$P67,IF(AND('Stream Parts I-II'!$P67&gt;=21,'Stream Parts I-II'!$P67&lt;29),0.046875+0.015625*'Stream Parts I-II'!$P67,IF(AND('Stream Parts I-II'!$P67&gt;=13,'Stream Parts I-II'!$P67&lt;21),0.046875+0.015625*'Stream Parts I-II'!$P67,IF(AND('Stream Parts I-II'!$P67&gt;=7,'Stream Parts I-II'!$P67&lt;13),-0.0208333333333+0.02083333333333*'Stream Parts I-II'!$P67,IF(AND('Stream Parts I-II'!$P67&gt;=0,'Stream Parts I-II'!$P67&lt;7),0+0.01785714*'Stream Parts I-II'!$P67,"Check Data")))))))))</f>
        <v>Check Data</v>
      </c>
      <c r="K50" s="542"/>
      <c r="L50" s="535" t="str">
        <f>IF(AND('Stream Parts I-II'!$E7="Ephemeral",'Stream Parts I-II'!$AE35=FALSE,'Stream Parts I-II'!$AE65=FALSE),0.625,IF(AND('Stream Parts I-II'!$U67&lt;=60,'Stream Parts I-II'!$U67&gt;=45),0.5+0.00833333*'Stream Parts I-II'!$U67,IF(AND('Stream Parts I-II'!$U67&gt;=41,'Stream Parts I-II'!$U67&lt;45),-0.53125+0.03125*'Stream Parts I-II'!$U67,IF(AND('Stream Parts I-II'!$U67&gt;=33,'Stream Parts I-II'!$U67&lt;41),0.109375+0.015625*'Stream Parts I-II'!$U67,IF(AND('Stream Parts I-II'!$U67&gt;=29,'Stream Parts I-II'!$U67&lt;33),-0.40625+0.03125*'Stream Parts I-II'!$U67,IF(AND('Stream Parts I-II'!$U67&gt;=21,'Stream Parts I-II'!$U67&lt;29),0.046875+0.015625*'Stream Parts I-II'!$U67,IF(AND('Stream Parts I-II'!$U67&gt;=13,'Stream Parts I-II'!$U67&lt;21),0.046875+0.015625*'Stream Parts I-II'!$U67,IF(AND('Stream Parts I-II'!$U67&gt;=7,'Stream Parts I-II'!$U67&lt;13),-0.0208333333333+0.02083333333333*'Stream Parts I-II'!$U67,IF(AND('Stream Parts I-II'!$U67&gt;=0,'Stream Parts I-II'!$U67&lt;7),0+0.01785714*'Stream Parts I-II'!$U67,"Check Data")))))))))</f>
        <v>Check Data</v>
      </c>
      <c r="M50" s="542"/>
      <c r="N50" s="535" t="str">
        <f>IF(AND('Stream Parts I-II'!$E7="Ephemeral",'Stream Parts I-II'!$AE35=FALSE,'Stream Parts I-II'!$AE65=FALSE),0.625,IF(AND('Stream Parts I-II'!$AA67&lt;=60,'Stream Parts I-II'!$AA67&gt;=45),0.5+0.00833333*'Stream Parts I-II'!$AA67,IF(AND('Stream Parts I-II'!$AA67&gt;=41,'Stream Parts I-II'!$AA67&lt;45),-0.53125+0.03125*'Stream Parts I-II'!$AA67,IF(AND('Stream Parts I-II'!$AA67&gt;=33,'Stream Parts I-II'!$AA67&lt;41),0.109375+0.015625*'Stream Parts I-II'!$AA67,IF(AND('Stream Parts I-II'!$AA67&gt;=29,'Stream Parts I-II'!$AA67&lt;33),-0.40625+0.03125*'Stream Parts I-II'!$AA67,IF(AND('Stream Parts I-II'!$AA67&gt;=21,'Stream Parts I-II'!$AA67&lt;29),0.046875+0.015625*'Stream Parts I-II'!$AA67,IF(AND('Stream Parts I-II'!$AA67&gt;=13,'Stream Parts I-II'!$AA67&lt;21),0.046875+0.015625*'Stream Parts I-II'!$AA67,IF(AND('Stream Parts I-II'!$AA67&gt;=7,'Stream Parts I-II'!$AA67&lt;13),-0.0208333333333+0.02083333333333*'Stream Parts I-II'!$AA67,IF(AND('Stream Parts I-II'!$AA67&gt;=0,'Stream Parts I-II'!$AA67&lt;7),0+0.01785714*'Stream Parts I-II'!$AA67,"Check Data")))))))))</f>
        <v>Check Data</v>
      </c>
      <c r="O50" s="542"/>
      <c r="S50" s="282" t="s">
        <v>313</v>
      </c>
      <c r="T50" s="107">
        <v>0.3</v>
      </c>
    </row>
    <row r="51" spans="2:20" x14ac:dyDescent="0.25">
      <c r="B51" s="534">
        <v>7</v>
      </c>
      <c r="E51" s="409" t="s">
        <v>180</v>
      </c>
      <c r="F51" s="535" t="e">
        <f>IF('Stream Parts I-II'!#REF!=FALSE,1,IF(AND('Stream Parts I-II'!$C7="Ephemeral",'Stream Parts I-II'!$AD35=FALSE,'Stream Parts I-II'!$AD65=FALSE),0.625,IF(AND('Stream Parts I-II'!#REF!&lt;=60,'Stream Parts I-II'!#REF!&gt;=45),0.5+0.00833333*'Stream Parts I-II'!#REF!,IF(AND('Stream Parts I-II'!#REF!&gt;=41,'Stream Parts I-II'!#REF!&lt;45),-0.53125+0.03125*'Stream Parts I-II'!#REF!,IF(AND('Stream Parts I-II'!#REF!&gt;=35,'Stream Parts I-II'!#REF!&lt;41),-0.1041667+0.0208333*'Stream Parts I-II'!#REF!,IF(AND('Stream Parts I-II'!#REF!&gt;=31,'Stream Parts I-II'!#REF!&lt;35),-0.46875+0.03125*'Stream Parts I-II'!#REF!,IF(AND('Stream Parts I-II'!#REF!&gt;=21,'Stream Parts I-II'!#REF!&lt;31),0.1125+0.0125*'Stream Parts I-II'!#REF!,IF(AND('Stream Parts I-II'!#REF!&gt;=13,'Stream Parts I-II'!#REF!&lt;21),0.046875+0.015625*'Stream Parts I-II'!#REF!,IF(AND('Stream Parts I-II'!#REF!&gt;=7,'Stream Parts I-II'!#REF!&lt;13),-0.0208333333333+0.02083333333333*'Stream Parts I-II'!#REF!,IF(AND('Stream Parts I-II'!#REF!&gt;=0,'Stream Parts I-II'!#REF!&lt;7),0+0.01785714*'Stream Parts I-II'!#REF!,"Check Data"))))))))))</f>
        <v>#REF!</v>
      </c>
      <c r="G51" s="542"/>
      <c r="H51" s="535" t="str">
        <f>IF(AND('Stream Parts I-II'!$E7="Ephemeral",'Stream Parts I-II'!$AE35=FALSE,'Stream Parts I-II'!$AE65=FALSE),0.625,IF(AND('Stream Parts I-II'!$J67&lt;=60,'Stream Parts I-II'!$J67&gt;=45),0.5+0.00833333*'Stream Parts I-II'!$J67,IF(AND('Stream Parts I-II'!$J67&gt;=41,'Stream Parts I-II'!$J67&lt;45),-0.53125+0.03125*'Stream Parts I-II'!$J67,IF(AND('Stream Parts I-II'!$J67&gt;=35,'Stream Parts I-II'!$J67&lt;41),-0.1041667+0.0208333*'Stream Parts I-II'!$J67,IF(AND('Stream Parts I-II'!$J67&gt;=31,'Stream Parts I-II'!$J67&lt;35),-0.46875+0.03125*'Stream Parts I-II'!$J67,IF(AND('Stream Parts I-II'!$J67&gt;=21,'Stream Parts I-II'!$J67&lt;31),0.1125+0.0125*'Stream Parts I-II'!$J67,IF(AND('Stream Parts I-II'!$J67&gt;=13,'Stream Parts I-II'!$J67&lt;21),0.046875+0.015625*'Stream Parts I-II'!$J67,IF(AND('Stream Parts I-II'!$J67&gt;=7,'Stream Parts I-II'!$J67&lt;13),-0.0208333333333+0.02083333333333*'Stream Parts I-II'!$J67,IF(AND('Stream Parts I-II'!$J67&gt;=0,'Stream Parts I-II'!$J67&lt;7),0+0.01785714*'Stream Parts I-II'!$J67,"Check Data")))))))))</f>
        <v>Check Data</v>
      </c>
      <c r="I51" s="542"/>
      <c r="J51" s="535" t="str">
        <f>IF(AND('Stream Parts I-II'!$E7="Ephemeral",'Stream Parts I-II'!$AE35=FALSE,'Stream Parts I-II'!$AE65=FALSE),0.625,IF(AND('Stream Parts I-II'!$P67&lt;=60,'Stream Parts I-II'!$P67&gt;=45),0.5+0.00833333*'Stream Parts I-II'!$P67,IF(AND('Stream Parts I-II'!$P67&gt;=41,'Stream Parts I-II'!$P67&lt;45),-0.53125+0.03125*'Stream Parts I-II'!$P67,IF(AND('Stream Parts I-II'!$P67&gt;=35,'Stream Parts I-II'!$P67&lt;41),-0.1041667+0.0208333*'Stream Parts I-II'!$P67,IF(AND('Stream Parts I-II'!$P67&gt;=31,'Stream Parts I-II'!$P67&lt;35),-0.46875+0.03125*'Stream Parts I-II'!$P67,IF(AND('Stream Parts I-II'!$P67&gt;=21,'Stream Parts I-II'!$P67&lt;31),0.1125+0.0125*'Stream Parts I-II'!$P67,IF(AND('Stream Parts I-II'!$P67&gt;=13,'Stream Parts I-II'!$P67&lt;21),0.046875+0.015625*'Stream Parts I-II'!$P67,IF(AND('Stream Parts I-II'!$P67&gt;=7,'Stream Parts I-II'!$P67&lt;13),-0.0208333333333+0.02083333333333*'Stream Parts I-II'!$P67,IF(AND('Stream Parts I-II'!$P67&gt;=0,'Stream Parts I-II'!$P67&lt;7),0+0.01785714*'Stream Parts I-II'!$P67,"Check Data")))))))))</f>
        <v>Check Data</v>
      </c>
      <c r="K51" s="542"/>
      <c r="L51" s="535" t="str">
        <f>IF(AND('Stream Parts I-II'!$E7="Ephemeral",'Stream Parts I-II'!$AE35=FALSE,'Stream Parts I-II'!$AE65=FALSE),0.625,IF(AND('Stream Parts I-II'!$U67&lt;=60,'Stream Parts I-II'!$U67&gt;=45),0.5+0.00833333*'Stream Parts I-II'!$U67,IF(AND('Stream Parts I-II'!$U67&gt;=41,'Stream Parts I-II'!$U67&lt;45),-0.53125+0.03125*'Stream Parts I-II'!$U67,IF(AND('Stream Parts I-II'!$U67&gt;=35,'Stream Parts I-II'!$U67&lt;41),-0.1041667+0.0208333*'Stream Parts I-II'!$U67,IF(AND('Stream Parts I-II'!$U67&gt;=31,'Stream Parts I-II'!$U67&lt;35),-0.46875+0.03125*'Stream Parts I-II'!$U67,IF(AND('Stream Parts I-II'!$U67&gt;=21,'Stream Parts I-II'!$U67&lt;31),0.1125+0.0125*'Stream Parts I-II'!$U67,IF(AND('Stream Parts I-II'!$U67&gt;=13,'Stream Parts I-II'!$U67&lt;21),0.046875+0.015625*'Stream Parts I-II'!$U67,IF(AND('Stream Parts I-II'!$U67&gt;=7,'Stream Parts I-II'!$U67&lt;13),-0.0208333333333+0.02083333333333*'Stream Parts I-II'!$U67,IF(AND('Stream Parts I-II'!$U67&gt;=0,'Stream Parts I-II'!$U67&lt;7),0+0.01785714*'Stream Parts I-II'!$U67,"Check Data")))))))))</f>
        <v>Check Data</v>
      </c>
      <c r="M51" s="542"/>
      <c r="N51" s="535" t="str">
        <f>IF(AND('Stream Parts I-II'!$E7="Ephemeral",'Stream Parts I-II'!$AE35=FALSE,'Stream Parts I-II'!$AE65=FALSE),0.625,IF(AND('Stream Parts I-II'!$AA67&lt;=60,'Stream Parts I-II'!$AA67&gt;=45),0.5+0.00833333*'Stream Parts I-II'!$AA67,IF(AND('Stream Parts I-II'!$AA67&gt;=41,'Stream Parts I-II'!$AA67&lt;45),-0.53125+0.03125*'Stream Parts I-II'!$AA67,IF(AND('Stream Parts I-II'!$AA67&gt;=35,'Stream Parts I-II'!$AA67&lt;41),-0.1041667+0.0208333*'Stream Parts I-II'!$AA67,IF(AND('Stream Parts I-II'!$AA67&gt;=31,'Stream Parts I-II'!$AA67&lt;35),-0.46875+0.03125*'Stream Parts I-II'!$AA67,IF(AND('Stream Parts I-II'!$AA67&gt;=21,'Stream Parts I-II'!$AA67&lt;31),0.1125+0.0125*'Stream Parts I-II'!$AA67,IF(AND('Stream Parts I-II'!$AA67&gt;=13,'Stream Parts I-II'!$AA67&lt;21),0.046875+0.015625*'Stream Parts I-II'!$AA67,IF(AND('Stream Parts I-II'!$AA67&gt;=7,'Stream Parts I-II'!$AA67&lt;13),-0.0208333333333+0.02083333333333*'Stream Parts I-II'!$AA67,IF(AND('Stream Parts I-II'!$AA67&gt;=0,'Stream Parts I-II'!$AA67&lt;7),0+0.01785714*'Stream Parts I-II'!$AA67,"Check Data")))))))))</f>
        <v>Check Data</v>
      </c>
      <c r="O51" s="542"/>
      <c r="S51" s="282" t="s">
        <v>314</v>
      </c>
      <c r="T51" s="107">
        <v>0.3</v>
      </c>
    </row>
    <row r="52" spans="2:20" x14ac:dyDescent="0.25">
      <c r="B52" s="534">
        <v>8</v>
      </c>
      <c r="E52" s="409" t="s">
        <v>181</v>
      </c>
      <c r="F52" s="535" t="e">
        <f>IF('Stream Parts I-II'!#REF!=FALSE,1,IF(AND('Stream Parts I-II'!$C7="Ephemeral",'Stream Parts I-II'!$AD35=FALSE,'Stream Parts I-II'!$AD65=FALSE),0.625,IF(AND('Stream Parts I-II'!#REF!&lt;=60,'Stream Parts I-II'!#REF!&gt;=45),0.5+0.00833333*'Stream Parts I-II'!#REF!,IF(AND('Stream Parts I-II'!#REF!&gt;=41,'Stream Parts I-II'!#REF!&lt;45),-0.53125+0.03125*'Stream Parts I-II'!#REF!,IF(AND('Stream Parts I-II'!#REF!&gt;=35,'Stream Parts I-II'!#REF!&lt;41),-0.1041667+0.0208333*'Stream Parts I-II'!#REF!,IF(AND('Stream Parts I-II'!#REF!&gt;=31,'Stream Parts I-II'!#REF!&lt;35),-0.46875+0.03125*'Stream Parts I-II'!#REF!,IF(AND('Stream Parts I-II'!#REF!&gt;=21,'Stream Parts I-II'!#REF!&lt;31),0.1125+0.0125*'Stream Parts I-II'!#REF!,IF(AND('Stream Parts I-II'!#REF!&gt;=13,'Stream Parts I-II'!#REF!&lt;21),0.046875+0.015625*'Stream Parts I-II'!#REF!,IF(AND('Stream Parts I-II'!#REF!&gt;=7,'Stream Parts I-II'!#REF!&lt;13),-0.0208333333333+0.02083333333333*'Stream Parts I-II'!#REF!,IF(AND('Stream Parts I-II'!#REF!&gt;=0,'Stream Parts I-II'!#REF!&lt;7),0+0.01785714*'Stream Parts I-II'!#REF!,"Check Data"))))))))))</f>
        <v>#REF!</v>
      </c>
      <c r="G52" s="542"/>
      <c r="H52" s="535" t="str">
        <f>IF(AND('Stream Parts I-II'!$E7="Ephemeral",'Stream Parts I-II'!$AE35=FALSE,'Stream Parts I-II'!$AE65=FALSE),0.625,IF(AND('Stream Parts I-II'!$J67&lt;=60,'Stream Parts I-II'!$J67&gt;=45),0.5+0.00833333*'Stream Parts I-II'!$J67,IF(AND('Stream Parts I-II'!$J67&gt;=41,'Stream Parts I-II'!$J67&lt;45),-0.53125+0.03125*'Stream Parts I-II'!$J67,IF(AND('Stream Parts I-II'!$J67&gt;=35,'Stream Parts I-II'!$J67&lt;41),-0.1041667+0.0208333*'Stream Parts I-II'!$J67,IF(AND('Stream Parts I-II'!$J67&gt;=31,'Stream Parts I-II'!$J67&lt;35),-0.46875+0.03125*'Stream Parts I-II'!$J67,IF(AND('Stream Parts I-II'!$J67&gt;=21,'Stream Parts I-II'!$J67&lt;31),0.1125+0.0125*'Stream Parts I-II'!$J67,IF(AND('Stream Parts I-II'!$J67&gt;=13,'Stream Parts I-II'!$J67&lt;21),0.046875+0.015625*'Stream Parts I-II'!$J67,IF(AND('Stream Parts I-II'!$J67&gt;=7,'Stream Parts I-II'!$J67&lt;13),-0.0208333333333+0.02083333333333*'Stream Parts I-II'!$J67,IF(AND('Stream Parts I-II'!$J67&gt;=0,'Stream Parts I-II'!$J67&lt;7),0+0.01785714*'Stream Parts I-II'!$J67,"Check Data")))))))))</f>
        <v>Check Data</v>
      </c>
      <c r="I52" s="542"/>
      <c r="J52" s="535" t="str">
        <f>IF(AND('Stream Parts I-II'!$E7="Ephemeral",'Stream Parts I-II'!$AE35=FALSE,'Stream Parts I-II'!$AE65=FALSE),0.625,IF(AND('Stream Parts I-II'!$P67&lt;=60,'Stream Parts I-II'!$P67&gt;=45),0.5+0.00833333*'Stream Parts I-II'!$P67,IF(AND('Stream Parts I-II'!$P67&gt;=41,'Stream Parts I-II'!$P67&lt;45),-0.53125+0.03125*'Stream Parts I-II'!$P67,IF(AND('Stream Parts I-II'!$P67&gt;=35,'Stream Parts I-II'!$P67&lt;41),-0.1041667+0.0208333*'Stream Parts I-II'!$P67,IF(AND('Stream Parts I-II'!$P67&gt;=31,'Stream Parts I-II'!$P67&lt;35),-0.46875+0.03125*'Stream Parts I-II'!$P67,IF(AND('Stream Parts I-II'!$P67&gt;=21,'Stream Parts I-II'!$P67&lt;31),0.1125+0.0125*'Stream Parts I-II'!$P67,IF(AND('Stream Parts I-II'!$P67&gt;=13,'Stream Parts I-II'!$P67&lt;21),0.046875+0.015625*'Stream Parts I-II'!$P67,IF(AND('Stream Parts I-II'!$P67&gt;=7,'Stream Parts I-II'!$P67&lt;13),-0.0208333333333+0.02083333333333*'Stream Parts I-II'!$P67,IF(AND('Stream Parts I-II'!$P67&gt;=0,'Stream Parts I-II'!$P67&lt;7),0+0.01785714*'Stream Parts I-II'!$P67,"Check Data")))))))))</f>
        <v>Check Data</v>
      </c>
      <c r="K52" s="542"/>
      <c r="L52" s="535" t="str">
        <f>IF(AND('Stream Parts I-II'!$E7="Ephemeral",'Stream Parts I-II'!$AE35=FALSE,'Stream Parts I-II'!$AE65=FALSE),0.625,IF(AND('Stream Parts I-II'!$U67&lt;=60,'Stream Parts I-II'!$U67&gt;=45),0.5+0.00833333*'Stream Parts I-II'!$U67,IF(AND('Stream Parts I-II'!$U67&gt;=41,'Stream Parts I-II'!$U67&lt;45),-0.53125+0.03125*'Stream Parts I-II'!$U67,IF(AND('Stream Parts I-II'!$U67&gt;=35,'Stream Parts I-II'!$U67&lt;41),-0.1041667+0.0208333*'Stream Parts I-II'!$U67,IF(AND('Stream Parts I-II'!$U67&gt;=31,'Stream Parts I-II'!$U67&lt;35),-0.46875+0.03125*'Stream Parts I-II'!$U67,IF(AND('Stream Parts I-II'!$U67&gt;=21,'Stream Parts I-II'!$U67&lt;31),0.1125+0.0125*'Stream Parts I-II'!$U67,IF(AND('Stream Parts I-II'!$U67&gt;=13,'Stream Parts I-II'!$U67&lt;21),0.046875+0.015625*'Stream Parts I-II'!$U67,IF(AND('Stream Parts I-II'!$U67&gt;=7,'Stream Parts I-II'!$U67&lt;13),-0.0208333333333+0.02083333333333*'Stream Parts I-II'!$U67,IF(AND('Stream Parts I-II'!$U67&gt;=0,'Stream Parts I-II'!$U67&lt;7),0+0.01785714*'Stream Parts I-II'!$U67,"Check Data")))))))))</f>
        <v>Check Data</v>
      </c>
      <c r="M52" s="542"/>
      <c r="N52" s="535" t="str">
        <f>IF(AND('Stream Parts I-II'!$E7="Ephemeral",'Stream Parts I-II'!$AE35=FALSE,'Stream Parts I-II'!$AE65=FALSE),0.625,IF(AND('Stream Parts I-II'!$AA67&lt;=60,'Stream Parts I-II'!$AA67&gt;=45),0.5+0.00833333*'Stream Parts I-II'!$AA67,IF(AND('Stream Parts I-II'!$AA67&gt;=41,'Stream Parts I-II'!$AA67&lt;45),-0.53125+0.03125*'Stream Parts I-II'!$AA67,IF(AND('Stream Parts I-II'!$AA67&gt;=35,'Stream Parts I-II'!$AA67&lt;41),-0.1041667+0.0208333*'Stream Parts I-II'!$AA67,IF(AND('Stream Parts I-II'!$AA67&gt;=31,'Stream Parts I-II'!$AA67&lt;35),-0.46875+0.03125*'Stream Parts I-II'!$AA67,IF(AND('Stream Parts I-II'!$AA67&gt;=21,'Stream Parts I-II'!$AA67&lt;31),0.1125+0.0125*'Stream Parts I-II'!$AA67,IF(AND('Stream Parts I-II'!$AA67&gt;=13,'Stream Parts I-II'!$AA67&lt;21),0.046875+0.015625*'Stream Parts I-II'!$AA67,IF(AND('Stream Parts I-II'!$AA67&gt;=7,'Stream Parts I-II'!$AA67&lt;13),-0.0208333333333+0.02083333333333*'Stream Parts I-II'!$AA67,IF(AND('Stream Parts I-II'!$AA67&gt;=0,'Stream Parts I-II'!$AA67&lt;7),0+0.01785714*'Stream Parts I-II'!$AA67,"Check Data")))))))))</f>
        <v>Check Data</v>
      </c>
      <c r="O52" s="542"/>
      <c r="S52" s="282" t="s">
        <v>315</v>
      </c>
      <c r="T52" s="107">
        <v>0.3</v>
      </c>
    </row>
    <row r="53" spans="2:20" x14ac:dyDescent="0.25">
      <c r="B53" s="534">
        <v>9</v>
      </c>
      <c r="E53" s="534"/>
      <c r="F53" s="541"/>
      <c r="G53" s="542"/>
      <c r="H53" s="541"/>
      <c r="I53" s="542"/>
      <c r="J53" s="541"/>
      <c r="K53" s="542"/>
      <c r="L53" s="541"/>
      <c r="M53" s="542"/>
      <c r="N53" s="541"/>
      <c r="O53" s="542"/>
      <c r="S53" s="282" t="s">
        <v>316</v>
      </c>
      <c r="T53" s="107">
        <v>0.3</v>
      </c>
    </row>
    <row r="54" spans="2:20" x14ac:dyDescent="0.25">
      <c r="B54" s="534">
        <v>10</v>
      </c>
      <c r="E54" s="534"/>
      <c r="F54" s="541"/>
      <c r="G54" s="542"/>
      <c r="H54" s="541"/>
      <c r="I54" s="542"/>
      <c r="J54" s="541"/>
      <c r="K54" s="542"/>
      <c r="L54" s="541"/>
      <c r="M54" s="542"/>
      <c r="N54" s="541"/>
      <c r="O54" s="542"/>
      <c r="S54" s="282" t="s">
        <v>317</v>
      </c>
      <c r="T54" s="107">
        <v>0.3</v>
      </c>
    </row>
    <row r="55" spans="2:20" x14ac:dyDescent="0.25">
      <c r="B55" s="534">
        <v>11</v>
      </c>
      <c r="E55" s="534"/>
      <c r="F55" s="541"/>
      <c r="G55" s="542"/>
      <c r="H55" s="541"/>
      <c r="I55" s="542"/>
      <c r="J55" s="541"/>
      <c r="K55" s="542"/>
      <c r="L55" s="541"/>
      <c r="M55" s="542"/>
      <c r="N55" s="541"/>
      <c r="O55" s="542"/>
      <c r="S55" s="282" t="s">
        <v>318</v>
      </c>
      <c r="T55" s="107">
        <v>0.3</v>
      </c>
    </row>
    <row r="56" spans="2:20" x14ac:dyDescent="0.25">
      <c r="B56" s="534">
        <v>12</v>
      </c>
      <c r="E56" s="534"/>
      <c r="F56" s="543" t="s">
        <v>192</v>
      </c>
      <c r="G56" s="542"/>
      <c r="H56" s="541"/>
      <c r="I56" s="542"/>
      <c r="J56" s="541"/>
      <c r="K56" s="542"/>
      <c r="L56" s="541"/>
      <c r="M56" s="542"/>
      <c r="N56" s="541"/>
      <c r="O56" s="542"/>
      <c r="S56" s="282" t="s">
        <v>319</v>
      </c>
      <c r="T56" s="107">
        <v>0.3</v>
      </c>
    </row>
    <row r="57" spans="2:20" x14ac:dyDescent="0.25">
      <c r="B57" s="534">
        <v>13</v>
      </c>
      <c r="E57" s="534"/>
      <c r="F57" s="541"/>
      <c r="G57" s="544" t="s">
        <v>259</v>
      </c>
      <c r="H57" s="1047" t="s">
        <v>255</v>
      </c>
      <c r="I57" s="1048"/>
      <c r="J57" s="1047" t="s">
        <v>256</v>
      </c>
      <c r="K57" s="1048"/>
      <c r="L57" s="1047" t="s">
        <v>257</v>
      </c>
      <c r="M57" s="1048"/>
      <c r="N57" s="1047" t="s">
        <v>258</v>
      </c>
      <c r="O57" s="1048"/>
      <c r="S57" s="282" t="s">
        <v>320</v>
      </c>
      <c r="T57" s="107">
        <v>0.3</v>
      </c>
    </row>
    <row r="58" spans="2:20" x14ac:dyDescent="0.25">
      <c r="B58" s="534">
        <v>14</v>
      </c>
      <c r="E58" s="534"/>
      <c r="F58" s="545" t="s">
        <v>193</v>
      </c>
      <c r="G58" s="546" t="s">
        <v>194</v>
      </c>
      <c r="H58" s="541"/>
      <c r="I58" s="542"/>
      <c r="J58" s="541"/>
      <c r="K58" s="542"/>
      <c r="L58" s="541"/>
      <c r="M58" s="542"/>
      <c r="N58" s="541"/>
      <c r="O58" s="542"/>
      <c r="S58" s="282" t="s">
        <v>321</v>
      </c>
      <c r="T58" s="107">
        <v>0.3</v>
      </c>
    </row>
    <row r="59" spans="2:20" x14ac:dyDescent="0.25">
      <c r="B59" s="534">
        <v>15</v>
      </c>
      <c r="E59" s="534"/>
      <c r="F59" s="545" t="s">
        <v>195</v>
      </c>
      <c r="G59" s="547" t="e">
        <f>IF('Stream Parts I-II'!#REF!&gt;=60,"Excellent", IF('Stream Parts I-II'!#REF!&gt;=50,"Good",IF('Stream Parts I-II'!#REF!&gt;=40, "Fair", IF('Stream Parts I-II'!#REF!&gt;=30,"Poor",IF('Stream Parts I-II'!#REF!&lt;30,"Very Poor","Check Data")))))</f>
        <v>#REF!</v>
      </c>
      <c r="H59" s="541"/>
      <c r="I59" s="547" t="e">
        <f>IF('Stream Parts I-II'!#REF!&gt;=60,"Excellent", IF('Stream Parts I-II'!#REF!&gt;=50,"Good",IF('Stream Parts I-II'!#REF!&gt;=40, "Fair", IF('Stream Parts I-II'!#REF!&gt;=30,"Poor",IF('Stream Parts I-II'!#REF!&lt;30,"Very Poor","Check Data")))))</f>
        <v>#REF!</v>
      </c>
      <c r="J59" s="541"/>
      <c r="K59" s="547" t="e">
        <f>IF('Stream Parts I-II'!#REF!&gt;=60,"Excellent", IF('Stream Parts I-II'!#REF!&gt;=50,"Good",IF('Stream Parts I-II'!#REF!&gt;=40, "Fair", IF('Stream Parts I-II'!#REF!&gt;=30,"Poor",IF('Stream Parts I-II'!#REF!&lt;30,"Very Poor","Check Data")))))</f>
        <v>#REF!</v>
      </c>
      <c r="L59" s="541"/>
      <c r="M59" s="547" t="e">
        <f>IF('Stream Parts I-II'!#REF!&gt;=60,"Excellent", IF('Stream Parts I-II'!#REF!&gt;=50,"Good",IF('Stream Parts I-II'!#REF!&gt;=40, "Fair", IF('Stream Parts I-II'!#REF!&gt;=30,"Poor",IF('Stream Parts I-II'!#REF!&lt;30,"Very Poor","Check Data")))))</f>
        <v>#REF!</v>
      </c>
      <c r="N59" s="541"/>
      <c r="O59" s="547" t="e">
        <f>IF('Stream Parts I-II'!#REF!&gt;=60,"Excellent", IF('Stream Parts I-II'!#REF!&gt;=50,"Good",IF('Stream Parts I-II'!#REF!&gt;=40, "Fair", IF('Stream Parts I-II'!#REF!&gt;=30,"Poor",IF('Stream Parts I-II'!#REF!&lt;30,"Very Poor","Check Data")))))</f>
        <v>#REF!</v>
      </c>
      <c r="S59" s="282" t="s">
        <v>322</v>
      </c>
      <c r="T59" s="107">
        <v>0.3</v>
      </c>
    </row>
    <row r="60" spans="2:20" x14ac:dyDescent="0.25">
      <c r="B60" s="534">
        <v>16</v>
      </c>
      <c r="E60" s="534"/>
      <c r="F60" s="545" t="s">
        <v>196</v>
      </c>
      <c r="G60" s="547" t="e">
        <f>IF('Stream Parts I-II'!#REF!&gt;=70,"Excellent", IF('Stream Parts I-II'!#REF!&gt;=55,"Good",IF('Stream Parts I-II'!#REF!&gt;=43, "Fair", IF('Stream Parts I-II'!#REF!&gt;=30,"Poor",IF('Stream Parts I-II'!#REF!&lt;30,"Very Poor","Check Data")))))</f>
        <v>#REF!</v>
      </c>
      <c r="H60" s="541"/>
      <c r="I60" s="547" t="e">
        <f>IF('Stream Parts I-II'!#REF!&gt;=70,"Excellent", IF('Stream Parts I-II'!#REF!&gt;=55,"Good",IF('Stream Parts I-II'!#REF!&gt;=43, "Fair", IF('Stream Parts I-II'!#REF!&gt;=30,"Poor",IF('Stream Parts I-II'!#REF!&lt;30,"Very Poor","Check Data")))))</f>
        <v>#REF!</v>
      </c>
      <c r="J60" s="541"/>
      <c r="K60" s="547" t="e">
        <f>IF('Stream Parts I-II'!#REF!&gt;=70,"Excellent", IF('Stream Parts I-II'!#REF!&gt;=55,"Good",IF('Stream Parts I-II'!#REF!&gt;=43, "Fair", IF('Stream Parts I-II'!#REF!&gt;=30,"Poor",IF('Stream Parts I-II'!#REF!&lt;30,"Very Poor","Check Data")))))</f>
        <v>#REF!</v>
      </c>
      <c r="L60" s="541"/>
      <c r="M60" s="547" t="e">
        <f>IF('Stream Parts I-II'!#REF!&gt;=70,"Excellent", IF('Stream Parts I-II'!#REF!&gt;=55,"Good",IF('Stream Parts I-II'!#REF!&gt;=43, "Fair", IF('Stream Parts I-II'!#REF!&gt;=30,"Poor",IF('Stream Parts I-II'!#REF!&lt;30,"Very Poor","Check Data")))))</f>
        <v>#REF!</v>
      </c>
      <c r="N60" s="541"/>
      <c r="O60" s="547" t="e">
        <f>IF('Stream Parts I-II'!#REF!&gt;=70,"Excellent", IF('Stream Parts I-II'!#REF!&gt;=55,"Good",IF('Stream Parts I-II'!#REF!&gt;=43, "Fair", IF('Stream Parts I-II'!#REF!&gt;=30,"Poor",IF('Stream Parts I-II'!#REF!&lt;30,"Very Poor","Check Data")))))</f>
        <v>#REF!</v>
      </c>
      <c r="S60" s="282" t="s">
        <v>323</v>
      </c>
      <c r="T60" s="107">
        <v>0.3</v>
      </c>
    </row>
    <row r="61" spans="2:20" x14ac:dyDescent="0.25">
      <c r="B61" s="534">
        <v>17</v>
      </c>
      <c r="E61" s="534"/>
      <c r="F61" s="545" t="s">
        <v>197</v>
      </c>
      <c r="G61" s="547" t="e">
        <f>IF('Stream Parts I-II'!#REF!&gt;=75,"Excellent", IF('Stream Parts I-II'!#REF!&gt;=60,"Good",IF('Stream Parts I-II'!#REF!&gt;=45, "Fair", IF('Stream Parts I-II'!#REF!&gt;=30,"Poor",IF('Stream Parts I-II'!#REF!&lt;30,"Very Poor","Check Data")))))</f>
        <v>#REF!</v>
      </c>
      <c r="H61" s="541"/>
      <c r="I61" s="547" t="e">
        <f>IF('Stream Parts I-II'!#REF!&gt;=75,"Excellent", IF('Stream Parts I-II'!#REF!&gt;=60,"Good",IF('Stream Parts I-II'!#REF!&gt;=45, "Fair", IF('Stream Parts I-II'!#REF!&gt;=30,"Poor",IF('Stream Parts I-II'!#REF!&lt;30,"Very Poor","Check Data")))))</f>
        <v>#REF!</v>
      </c>
      <c r="J61" s="541"/>
      <c r="K61" s="547" t="e">
        <f>IF('Stream Parts I-II'!#REF!&gt;=75,"Excellent", IF('Stream Parts I-II'!#REF!&gt;=60,"Good",IF('Stream Parts I-II'!#REF!&gt;=45, "Fair", IF('Stream Parts I-II'!#REF!&gt;=30,"Poor",IF('Stream Parts I-II'!#REF!&lt;30,"Very Poor","Check Data")))))</f>
        <v>#REF!</v>
      </c>
      <c r="L61" s="541"/>
      <c r="M61" s="547" t="e">
        <f>IF('Stream Parts I-II'!#REF!&gt;=75,"Excellent", IF('Stream Parts I-II'!#REF!&gt;=60,"Good",IF('Stream Parts I-II'!#REF!&gt;=45, "Fair", IF('Stream Parts I-II'!#REF!&gt;=30,"Poor",IF('Stream Parts I-II'!#REF!&lt;30,"Very Poor","Check Data")))))</f>
        <v>#REF!</v>
      </c>
      <c r="N61" s="541"/>
      <c r="O61" s="547" t="e">
        <f>IF('Stream Parts I-II'!#REF!&gt;=75,"Excellent", IF('Stream Parts I-II'!#REF!&gt;=60,"Good",IF('Stream Parts I-II'!#REF!&gt;=45, "Fair", IF('Stream Parts I-II'!#REF!&gt;=30,"Poor",IF('Stream Parts I-II'!#REF!&lt;30,"Very Poor","Check Data")))))</f>
        <v>#REF!</v>
      </c>
      <c r="S61" s="282" t="s">
        <v>324</v>
      </c>
      <c r="T61" s="107">
        <v>0.3</v>
      </c>
    </row>
    <row r="62" spans="2:20" x14ac:dyDescent="0.25">
      <c r="B62" s="534">
        <v>18</v>
      </c>
      <c r="E62" s="534"/>
      <c r="F62" s="548"/>
      <c r="G62" s="549"/>
      <c r="H62" s="548"/>
      <c r="I62" s="549"/>
      <c r="J62" s="548"/>
      <c r="K62" s="549"/>
      <c r="L62" s="548"/>
      <c r="M62" s="549"/>
      <c r="N62" s="548"/>
      <c r="O62" s="549"/>
      <c r="S62" s="282"/>
    </row>
    <row r="63" spans="2:20" x14ac:dyDescent="0.25">
      <c r="B63" s="534">
        <v>19</v>
      </c>
      <c r="E63" s="534"/>
      <c r="F63" s="534"/>
      <c r="G63" s="534"/>
      <c r="H63" s="534"/>
      <c r="I63" s="534"/>
      <c r="J63" s="534"/>
      <c r="K63" s="534"/>
      <c r="L63" s="534"/>
      <c r="M63" s="534"/>
      <c r="N63" s="534"/>
      <c r="O63" s="534"/>
    </row>
    <row r="64" spans="2:20" x14ac:dyDescent="0.25">
      <c r="B64" s="534">
        <v>20</v>
      </c>
    </row>
    <row r="65" spans="2:20" x14ac:dyDescent="0.25">
      <c r="B65" s="534">
        <v>21</v>
      </c>
      <c r="F65" s="550" t="s">
        <v>220</v>
      </c>
      <c r="G65" s="534"/>
    </row>
    <row r="66" spans="2:20" x14ac:dyDescent="0.25">
      <c r="B66" s="534">
        <v>22</v>
      </c>
      <c r="F66" s="553" t="s">
        <v>219</v>
      </c>
      <c r="G66" s="553" t="str">
        <f>""</f>
        <v/>
      </c>
      <c r="S66" s="256" t="s">
        <v>312</v>
      </c>
    </row>
    <row r="67" spans="2:20" x14ac:dyDescent="0.25">
      <c r="B67" s="534">
        <v>23</v>
      </c>
      <c r="F67" s="534" t="s">
        <v>210</v>
      </c>
      <c r="G67" s="554">
        <v>1</v>
      </c>
    </row>
    <row r="68" spans="2:20" x14ac:dyDescent="0.25">
      <c r="B68" s="534">
        <v>24</v>
      </c>
      <c r="F68" s="534" t="s">
        <v>211</v>
      </c>
      <c r="G68" s="554">
        <v>0.875</v>
      </c>
      <c r="S68" s="107" t="s">
        <v>306</v>
      </c>
      <c r="T68" s="107">
        <v>0.5</v>
      </c>
    </row>
    <row r="69" spans="2:20" x14ac:dyDescent="0.25">
      <c r="B69" s="534">
        <v>25</v>
      </c>
      <c r="F69" s="534" t="s">
        <v>212</v>
      </c>
      <c r="G69" s="554">
        <v>0.75</v>
      </c>
      <c r="S69" s="107" t="s">
        <v>307</v>
      </c>
      <c r="T69" s="107">
        <v>0.4</v>
      </c>
    </row>
    <row r="70" spans="2:20" x14ac:dyDescent="0.25">
      <c r="B70" s="534">
        <v>26</v>
      </c>
      <c r="F70" s="534" t="s">
        <v>213</v>
      </c>
      <c r="G70" s="554">
        <v>0.625</v>
      </c>
      <c r="S70" s="107" t="s">
        <v>308</v>
      </c>
      <c r="T70" s="107">
        <v>0.3</v>
      </c>
    </row>
    <row r="71" spans="2:20" x14ac:dyDescent="0.25">
      <c r="B71" s="534">
        <v>27</v>
      </c>
      <c r="F71" s="534" t="s">
        <v>214</v>
      </c>
      <c r="G71" s="554">
        <v>0.5</v>
      </c>
      <c r="S71" s="107" t="s">
        <v>309</v>
      </c>
      <c r="T71" s="107">
        <v>0.2</v>
      </c>
    </row>
    <row r="72" spans="2:20" x14ac:dyDescent="0.25">
      <c r="B72" s="534">
        <v>28</v>
      </c>
      <c r="F72" s="534" t="s">
        <v>215</v>
      </c>
      <c r="G72" s="554">
        <v>0.375</v>
      </c>
      <c r="S72" s="107" t="s">
        <v>310</v>
      </c>
      <c r="T72" s="107">
        <v>0.1</v>
      </c>
    </row>
    <row r="73" spans="2:20" x14ac:dyDescent="0.25">
      <c r="B73" s="534">
        <v>29</v>
      </c>
      <c r="F73" s="534" t="s">
        <v>216</v>
      </c>
      <c r="G73" s="554">
        <v>0.25</v>
      </c>
      <c r="S73" s="107" t="s">
        <v>311</v>
      </c>
      <c r="T73" s="107">
        <v>0</v>
      </c>
    </row>
    <row r="74" spans="2:20" x14ac:dyDescent="0.25">
      <c r="B74" s="534">
        <v>30</v>
      </c>
      <c r="F74" s="534" t="s">
        <v>217</v>
      </c>
      <c r="G74" s="554">
        <v>0.125</v>
      </c>
    </row>
    <row r="75" spans="2:20" x14ac:dyDescent="0.25">
      <c r="B75" s="534">
        <v>31</v>
      </c>
      <c r="F75" s="534" t="s">
        <v>218</v>
      </c>
      <c r="G75" s="554">
        <v>0</v>
      </c>
    </row>
    <row r="76" spans="2:20" x14ac:dyDescent="0.25">
      <c r="B76" s="534">
        <v>32</v>
      </c>
      <c r="F76" s="534"/>
      <c r="G76" s="534"/>
    </row>
    <row r="77" spans="2:20" x14ac:dyDescent="0.25">
      <c r="B77" s="534">
        <v>33</v>
      </c>
      <c r="F77" s="550" t="s">
        <v>237</v>
      </c>
      <c r="G77" s="534"/>
    </row>
    <row r="78" spans="2:20" x14ac:dyDescent="0.25">
      <c r="B78" s="534">
        <v>34</v>
      </c>
      <c r="F78" s="534"/>
      <c r="G78" s="534"/>
    </row>
    <row r="79" spans="2:20" x14ac:dyDescent="0.25">
      <c r="B79" s="534">
        <v>35</v>
      </c>
      <c r="F79" s="555" t="s">
        <v>239</v>
      </c>
      <c r="G79" s="555" t="s">
        <v>194</v>
      </c>
    </row>
    <row r="80" spans="2:20" x14ac:dyDescent="0.25">
      <c r="B80" s="534">
        <v>36</v>
      </c>
      <c r="F80" s="555" t="s">
        <v>240</v>
      </c>
      <c r="G80" s="534" t="s">
        <v>244</v>
      </c>
    </row>
    <row r="81" spans="2:7" x14ac:dyDescent="0.25">
      <c r="B81" s="534">
        <v>37</v>
      </c>
      <c r="F81" s="555" t="s">
        <v>241</v>
      </c>
      <c r="G81" s="534" t="s">
        <v>243</v>
      </c>
    </row>
    <row r="82" spans="2:7" x14ac:dyDescent="0.25">
      <c r="B82" s="534">
        <v>38</v>
      </c>
      <c r="F82" s="555" t="s">
        <v>242</v>
      </c>
      <c r="G82" s="534" t="s">
        <v>238</v>
      </c>
    </row>
    <row r="83" spans="2:7" x14ac:dyDescent="0.25">
      <c r="B83" s="534">
        <v>39</v>
      </c>
    </row>
    <row r="84" spans="2:7" x14ac:dyDescent="0.25">
      <c r="B84" s="534">
        <v>40</v>
      </c>
    </row>
    <row r="87" spans="2:7" x14ac:dyDescent="0.25">
      <c r="C87" s="404" t="s">
        <v>427</v>
      </c>
    </row>
    <row r="88" spans="2:7" x14ac:dyDescent="0.25">
      <c r="C88" s="108" t="s">
        <v>436</v>
      </c>
      <c r="D88" s="107" t="s">
        <v>428</v>
      </c>
    </row>
    <row r="89" spans="2:7" x14ac:dyDescent="0.25">
      <c r="C89" s="107" t="s">
        <v>429</v>
      </c>
      <c r="D89" s="107">
        <v>73</v>
      </c>
    </row>
    <row r="90" spans="2:7" x14ac:dyDescent="0.25">
      <c r="C90" s="107" t="s">
        <v>430</v>
      </c>
      <c r="D90" s="107">
        <v>74</v>
      </c>
    </row>
    <row r="91" spans="2:7" x14ac:dyDescent="0.25">
      <c r="C91" s="107" t="s">
        <v>431</v>
      </c>
      <c r="D91" s="107">
        <v>77</v>
      </c>
    </row>
    <row r="92" spans="2:7" x14ac:dyDescent="0.25">
      <c r="C92" s="107" t="s">
        <v>432</v>
      </c>
      <c r="D92" s="107">
        <v>73</v>
      </c>
    </row>
    <row r="93" spans="2:7" x14ac:dyDescent="0.25">
      <c r="C93" s="107" t="s">
        <v>433</v>
      </c>
      <c r="D93" s="107">
        <v>78</v>
      </c>
    </row>
    <row r="94" spans="2:7" x14ac:dyDescent="0.25">
      <c r="C94" s="107" t="s">
        <v>434</v>
      </c>
      <c r="D94" s="107">
        <v>83</v>
      </c>
    </row>
    <row r="95" spans="2:7" x14ac:dyDescent="0.25">
      <c r="C95" s="107" t="s">
        <v>435</v>
      </c>
      <c r="D95" s="107">
        <v>84</v>
      </c>
    </row>
  </sheetData>
  <mergeCells count="17">
    <mergeCell ref="H57:I57"/>
    <mergeCell ref="J57:K57"/>
    <mergeCell ref="L57:M57"/>
    <mergeCell ref="N57:O57"/>
    <mergeCell ref="H47:I47"/>
    <mergeCell ref="J47:K47"/>
    <mergeCell ref="L47:M47"/>
    <mergeCell ref="N47:O47"/>
    <mergeCell ref="J3:K3"/>
    <mergeCell ref="D31:D35"/>
    <mergeCell ref="L3:M3"/>
    <mergeCell ref="N3:O3"/>
    <mergeCell ref="F3:G3"/>
    <mergeCell ref="D13:D17"/>
    <mergeCell ref="D20:D24"/>
    <mergeCell ref="D6:D10"/>
    <mergeCell ref="H3:I3"/>
  </mergeCells>
  <pageMargins left="0.7" right="0.7" top="0.75" bottom="0.75" header="0.3" footer="0.3"/>
  <pageSetup orientation="portrait" verticalDpi="598"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U237"/>
  <sheetViews>
    <sheetView view="pageLayout" topLeftCell="A3" zoomScaleNormal="100" workbookViewId="0">
      <selection activeCell="C8" sqref="C8:C9"/>
    </sheetView>
  </sheetViews>
  <sheetFormatPr defaultColWidth="0" defaultRowHeight="0" customHeight="1" zeroHeight="1" x14ac:dyDescent="0.25"/>
  <cols>
    <col min="1" max="1" width="25.6640625" style="42" customWidth="1"/>
    <col min="2" max="2" width="19.33203125" style="42" customWidth="1"/>
    <col min="3" max="3" width="27.44140625" style="42" customWidth="1"/>
    <col min="4" max="4" width="16.6640625" style="42" customWidth="1"/>
    <col min="5" max="5" width="21.33203125" style="42" customWidth="1"/>
    <col min="6" max="6" width="15" style="42" customWidth="1"/>
    <col min="7" max="7" width="20.6640625" style="42" customWidth="1"/>
    <col min="8" max="8" width="14.5546875" style="42" customWidth="1"/>
    <col min="9" max="9" width="20.6640625" style="42" customWidth="1"/>
    <col min="10" max="10" width="14.109375" style="42" customWidth="1"/>
    <col min="11" max="11" width="0.6640625" style="40" customWidth="1"/>
    <col min="12" max="12" width="6" style="42" hidden="1" customWidth="1"/>
    <col min="13" max="13" width="27.109375" style="42" hidden="1" customWidth="1"/>
    <col min="14" max="14" width="9.44140625" style="42" hidden="1" customWidth="1"/>
    <col min="15" max="15" width="8.33203125" style="42" hidden="1" customWidth="1"/>
    <col min="16" max="18" width="6" style="42" hidden="1" customWidth="1"/>
    <col min="19" max="21" width="3.5546875" style="42" hidden="1" customWidth="1"/>
    <col min="22" max="16384" width="8.88671875" style="42" hidden="1"/>
  </cols>
  <sheetData>
    <row r="1" spans="1:20" s="14" customFormat="1" ht="12.75" hidden="1" customHeight="1" x14ac:dyDescent="0.25">
      <c r="A1" s="1144" t="s">
        <v>263</v>
      </c>
      <c r="B1" s="1145"/>
      <c r="C1" s="1145"/>
      <c r="D1" s="1145"/>
      <c r="E1" s="1145"/>
      <c r="F1" s="1145"/>
      <c r="G1" s="1145"/>
      <c r="H1" s="1145"/>
      <c r="I1" s="1145"/>
      <c r="J1" s="1146"/>
      <c r="K1" s="258"/>
      <c r="L1" s="133"/>
      <c r="M1" s="10"/>
      <c r="N1" s="10"/>
      <c r="O1" s="10"/>
      <c r="P1" s="10"/>
      <c r="Q1" s="10"/>
      <c r="R1" s="10"/>
      <c r="S1" s="10"/>
    </row>
    <row r="2" spans="1:20" s="14" customFormat="1" ht="66.599999999999994" hidden="1" customHeight="1" x14ac:dyDescent="0.25">
      <c r="A2" s="218" t="s">
        <v>54</v>
      </c>
      <c r="B2" s="219">
        <f>'Stream Parts I-II'!C79</f>
        <v>0.64500000000000002</v>
      </c>
      <c r="C2" s="220" t="s">
        <v>55</v>
      </c>
      <c r="D2" s="219" t="str">
        <f>IF(OR('Stream Parts I-II'!Y4="n/a",'Stream Parts I-II'!Y4="N/A",'Stream Parts I-II'!Y4="na",'Stream Parts I-II'!Y4="NA",'Stream Parts I-II'!Y4=0,'Stream Parts I-II'!Y4=""),"N/A",'Stream Parts I-II'!H79)</f>
        <v>Check Data</v>
      </c>
      <c r="E2" s="221" t="s">
        <v>76</v>
      </c>
      <c r="F2" s="222" t="str">
        <f>IF(OR('Stream Parts I-II'!Y4="n/a",'Stream Parts I-II'!Y4="N/A",'Stream Parts I-II'!Y4="na",'Stream Parts I-II'!Y4="NA",'Stream Parts I-II'!Y4=0,'Stream Parts I-II'!Y4=""),"N/A",'Stream Parts I-II'!N79)</f>
        <v>Check Data</v>
      </c>
      <c r="G2" s="221" t="s">
        <v>79</v>
      </c>
      <c r="H2" s="222" t="str">
        <f>IF(OR('Stream Parts I-II'!Y4="n/a",'Stream Parts I-II'!Y4="N/A",'Stream Parts I-II'!Y4="na",'Stream Parts I-II'!Y4="NA",'Stream Parts I-II'!Y4=0,'Stream Parts I-II'!Y4=""),"N/A",'Stream Parts I-II'!S79)</f>
        <v>Check Data</v>
      </c>
      <c r="I2" s="223" t="s">
        <v>56</v>
      </c>
      <c r="J2" s="219" t="str">
        <f>IF(OR('Stream Parts I-II'!Y4="n/a",'Stream Parts I-II'!Y4="N/A",'Stream Parts I-II'!Y4="na",'Stream Parts I-II'!Y4="NA",'Stream Parts I-II'!Y4=0,'Stream Parts I-II'!Y4=""),"N/A",'Stream Parts I-II'!Y79)</f>
        <v>Check Data</v>
      </c>
      <c r="K2" s="259"/>
      <c r="L2" s="177"/>
      <c r="M2" s="10"/>
      <c r="N2" s="10"/>
      <c r="O2" s="13"/>
      <c r="P2" s="13"/>
      <c r="Q2" s="10"/>
      <c r="R2" s="10"/>
      <c r="S2" s="10"/>
      <c r="T2" s="10"/>
    </row>
    <row r="3" spans="1:20" s="14" customFormat="1" ht="6.75" customHeight="1" x14ac:dyDescent="0.25">
      <c r="A3" s="143"/>
      <c r="B3" s="143"/>
      <c r="C3" s="143"/>
      <c r="D3" s="143"/>
      <c r="E3" s="143"/>
      <c r="F3" s="143"/>
      <c r="G3" s="143"/>
      <c r="H3" s="143"/>
      <c r="I3" s="133"/>
      <c r="J3" s="133"/>
      <c r="K3" s="146"/>
      <c r="L3" s="133"/>
      <c r="M3" s="10"/>
      <c r="N3" s="13"/>
      <c r="O3" s="13"/>
      <c r="P3" s="10"/>
      <c r="Q3" s="10"/>
      <c r="R3" s="10"/>
      <c r="S3" s="10"/>
    </row>
    <row r="4" spans="1:20" s="14" customFormat="1" ht="32.25" customHeight="1" x14ac:dyDescent="0.25">
      <c r="A4" s="1147" t="s">
        <v>491</v>
      </c>
      <c r="B4" s="1148"/>
      <c r="C4" s="1148"/>
      <c r="D4" s="1148"/>
      <c r="E4" s="1148"/>
      <c r="F4" s="1148"/>
      <c r="G4" s="1148"/>
      <c r="H4" s="1148"/>
      <c r="I4" s="1148"/>
      <c r="J4" s="1149"/>
      <c r="K4" s="179"/>
      <c r="L4" s="132"/>
      <c r="M4" s="10"/>
      <c r="N4" s="10"/>
      <c r="O4" s="10"/>
      <c r="P4" s="10"/>
      <c r="Q4" s="10"/>
      <c r="R4" s="10"/>
      <c r="S4" s="10"/>
    </row>
    <row r="5" spans="1:20" s="14" customFormat="1" ht="19.5" customHeight="1" x14ac:dyDescent="0.25">
      <c r="A5" s="1150" t="s">
        <v>42</v>
      </c>
      <c r="B5" s="1150"/>
      <c r="C5" s="1150"/>
      <c r="D5" s="143"/>
      <c r="E5" s="143"/>
      <c r="F5" s="1151" t="s">
        <v>15</v>
      </c>
      <c r="G5" s="1152"/>
      <c r="H5" s="1152"/>
      <c r="I5" s="1152"/>
      <c r="J5" s="1153"/>
      <c r="K5" s="260"/>
      <c r="L5" s="132"/>
      <c r="M5" s="10"/>
      <c r="N5" s="10"/>
      <c r="O5" s="10"/>
      <c r="P5" s="10"/>
      <c r="Q5" s="10"/>
      <c r="R5" s="10"/>
      <c r="S5" s="10"/>
    </row>
    <row r="6" spans="1:20" s="14" customFormat="1" ht="24" customHeight="1" x14ac:dyDescent="0.25">
      <c r="A6" s="1154" t="s">
        <v>47</v>
      </c>
      <c r="B6" s="1155"/>
      <c r="C6" s="1156"/>
      <c r="D6" s="176"/>
      <c r="E6" s="249"/>
      <c r="F6" s="1164" t="s">
        <v>303</v>
      </c>
      <c r="G6" s="1165"/>
      <c r="H6" s="1168" t="s">
        <v>17</v>
      </c>
      <c r="I6" s="1169"/>
      <c r="J6" s="1170"/>
      <c r="K6" s="260"/>
      <c r="L6" s="132"/>
      <c r="M6" s="10"/>
      <c r="O6" s="10"/>
      <c r="P6" s="10"/>
      <c r="Q6" s="10"/>
      <c r="R6" s="10"/>
      <c r="S6" s="10"/>
    </row>
    <row r="7" spans="1:20" s="14" customFormat="1" ht="39.75" customHeight="1" x14ac:dyDescent="0.25">
      <c r="A7" s="1158" t="s">
        <v>302</v>
      </c>
      <c r="B7" s="1159"/>
      <c r="C7" s="291" t="s">
        <v>300</v>
      </c>
      <c r="D7" s="34"/>
      <c r="E7" s="34"/>
      <c r="F7" s="1166"/>
      <c r="G7" s="1167"/>
      <c r="H7" s="1171"/>
      <c r="I7" s="1172"/>
      <c r="J7" s="1173"/>
      <c r="K7" s="260"/>
      <c r="L7" s="132"/>
      <c r="M7" s="10"/>
      <c r="N7" s="10"/>
      <c r="O7" s="10"/>
      <c r="P7" s="10"/>
      <c r="Q7" s="10"/>
      <c r="R7" s="10"/>
      <c r="S7" s="10"/>
    </row>
    <row r="8" spans="1:20" s="14" customFormat="1" ht="9.6" customHeight="1" x14ac:dyDescent="0.25">
      <c r="A8" s="1104" t="str">
        <f>IF(C8="","",VLOOKUP(C8,'Lists and Arrays'!$S$4:$T$26,2,0))</f>
        <v/>
      </c>
      <c r="B8" s="1105"/>
      <c r="C8" s="1088"/>
      <c r="D8" s="34"/>
      <c r="E8" s="34"/>
      <c r="F8" s="1174" t="str">
        <f>IF(OR($C$8='Lists and Arrays'!$S$5,$C$8='Lists and Arrays'!$S$6),"0 + 5/10 Year Monitoring",IF(H8="","",IF(AND(H8&lt;=20,H8&gt;=0),"50% + 20 Year Monitoring",IF(AND(H8&gt;20,H8&lt;=30),"40% + 15 Year Monitoring",IF(AND(H8&lt;=40,H8&gt;30),"30% + 10 Year Monitoring",IF(AND(H8&lt;=50,H8&gt;40),"20% + 5/10 Year Monitoring",IF(AND(H8&lt;=100,H8&gt;50),"10% + 5/10 Year Monitoring",IF(OR(H8="perpetual",H8&gt;100),"0 + 5/10 Year Monitoring",0))))))))</f>
        <v/>
      </c>
      <c r="G8" s="1175"/>
      <c r="H8" s="966"/>
      <c r="I8" s="967"/>
      <c r="J8" s="968"/>
      <c r="K8" s="614"/>
      <c r="L8" s="132"/>
      <c r="M8" s="10"/>
      <c r="N8" s="10"/>
      <c r="O8" s="10"/>
      <c r="P8" s="10"/>
      <c r="Q8" s="10"/>
      <c r="R8" s="10"/>
      <c r="S8" s="10"/>
    </row>
    <row r="9" spans="1:20" s="14" customFormat="1" ht="9.6" customHeight="1" x14ac:dyDescent="0.25">
      <c r="A9" s="1106"/>
      <c r="B9" s="1107"/>
      <c r="C9" s="1090"/>
      <c r="D9" s="34"/>
      <c r="E9" s="34"/>
      <c r="F9" s="1176"/>
      <c r="G9" s="1177"/>
      <c r="H9" s="1178"/>
      <c r="I9" s="1179"/>
      <c r="J9" s="1180"/>
      <c r="K9" s="614"/>
      <c r="L9" s="151"/>
      <c r="M9" s="15"/>
      <c r="N9" s="10"/>
      <c r="O9" s="10"/>
      <c r="P9" s="10"/>
      <c r="Q9" s="1126"/>
      <c r="R9" s="1126"/>
      <c r="S9" s="10"/>
    </row>
    <row r="10" spans="1:20" s="14" customFormat="1" ht="20.399999999999999" customHeight="1" x14ac:dyDescent="0.25">
      <c r="A10" s="1143" t="s">
        <v>301</v>
      </c>
      <c r="B10" s="1143"/>
      <c r="C10" s="248" t="str">
        <f>IF(A8="","",IF(F18="","",IF(F18="Check Data","Check Data",A8*F18)))</f>
        <v/>
      </c>
      <c r="D10" s="259"/>
      <c r="E10" s="259"/>
      <c r="F10" s="1131" t="s">
        <v>301</v>
      </c>
      <c r="G10" s="1132"/>
      <c r="H10" s="1135" t="str">
        <f>IF(OR($C$8='Lists and Arrays'!$S$5,$C$8='Lists and Arrays'!$S$6),0,IF(F18="Check Data","Check Data",IF(H8="","",IF(AND(H8&lt;=20,H8&gt;=0),F18*0.5,IF(AND(H8&gt;=21,H8&lt;=30),F18*0.4,IF(AND(H8&lt;=40,H8&gt;=31),F18*0.3,IF(AND(H8&lt;=50,H8&gt;=41),F18*0.2,IF(AND(H8&lt;=100,H8&gt;=51),F18*0.1,IF(OR(H8&gt;100,H8="perpetual"),0,0)))))))))</f>
        <v/>
      </c>
      <c r="I10" s="1136"/>
      <c r="J10" s="1137"/>
      <c r="K10" s="261"/>
      <c r="L10" s="151"/>
      <c r="M10" s="15"/>
      <c r="N10" s="11" t="s">
        <v>495</v>
      </c>
      <c r="O10" s="10"/>
      <c r="P10" s="10"/>
      <c r="Q10" s="16"/>
      <c r="R10" s="16"/>
      <c r="S10" s="10"/>
    </row>
    <row r="11" spans="1:20" s="14" customFormat="1" ht="3" customHeight="1" x14ac:dyDescent="0.25">
      <c r="A11" s="1128"/>
      <c r="B11" s="1129"/>
      <c r="C11" s="1130"/>
      <c r="D11" s="259"/>
      <c r="E11" s="259"/>
      <c r="F11" s="1133"/>
      <c r="G11" s="1134"/>
      <c r="H11" s="1138"/>
      <c r="I11" s="1139"/>
      <c r="J11" s="1140"/>
      <c r="K11" s="261"/>
      <c r="L11" s="151"/>
      <c r="M11" s="15"/>
      <c r="N11" s="10"/>
      <c r="O11" s="10"/>
      <c r="P11" s="10"/>
      <c r="Q11" s="16"/>
      <c r="R11" s="16"/>
      <c r="S11" s="10"/>
    </row>
    <row r="12" spans="1:20" s="14" customFormat="1" ht="20.25" customHeight="1" x14ac:dyDescent="0.25">
      <c r="A12" s="1127" t="s">
        <v>6</v>
      </c>
      <c r="B12" s="1127"/>
      <c r="C12" s="1127"/>
      <c r="D12" s="148"/>
      <c r="E12" s="148"/>
      <c r="F12" s="1141"/>
      <c r="G12" s="1141"/>
      <c r="H12" s="1142"/>
      <c r="I12" s="1142"/>
      <c r="J12" s="1142"/>
      <c r="K12" s="262"/>
      <c r="L12" s="250"/>
      <c r="M12" s="250"/>
      <c r="N12" s="14" t="str">
        <f>IF(OR($C$8='Lists and Arrays'!$S$5,$C$8='Lists and Arrays'!$S$6),"Not Used","Used")</f>
        <v>Used</v>
      </c>
      <c r="O12" s="10"/>
      <c r="P12" s="10"/>
      <c r="Q12" s="16"/>
      <c r="R12" s="16"/>
      <c r="S12" s="10"/>
    </row>
    <row r="13" spans="1:20" s="14" customFormat="1" ht="8.25" customHeight="1" x14ac:dyDescent="0.25">
      <c r="A13" s="1181" t="s">
        <v>48</v>
      </c>
      <c r="B13" s="1181"/>
      <c r="C13" s="1181"/>
      <c r="D13" s="148"/>
      <c r="E13" s="148"/>
      <c r="F13" s="1141"/>
      <c r="G13" s="1141"/>
      <c r="H13" s="1142"/>
      <c r="I13" s="1142"/>
      <c r="J13" s="1142"/>
      <c r="K13" s="262"/>
      <c r="L13" s="250"/>
      <c r="M13" s="250"/>
      <c r="O13" s="10"/>
      <c r="P13" s="10"/>
      <c r="Q13" s="16"/>
      <c r="R13" s="16"/>
      <c r="S13" s="10"/>
    </row>
    <row r="14" spans="1:20" s="14" customFormat="1" ht="9" customHeight="1" x14ac:dyDescent="0.25">
      <c r="A14" s="1181"/>
      <c r="B14" s="1181"/>
      <c r="C14" s="1181"/>
      <c r="D14" s="224"/>
      <c r="E14" s="224"/>
      <c r="F14" s="133"/>
      <c r="G14" s="133"/>
      <c r="H14" s="133"/>
      <c r="I14" s="132"/>
      <c r="J14" s="143"/>
      <c r="K14" s="162"/>
      <c r="L14" s="151"/>
      <c r="M14" s="15"/>
      <c r="N14" s="10"/>
      <c r="O14" s="10"/>
      <c r="P14" s="10"/>
      <c r="Q14" s="17"/>
      <c r="R14" s="18"/>
      <c r="S14" s="10"/>
    </row>
    <row r="15" spans="1:20" s="14" customFormat="1" ht="18" customHeight="1" x14ac:dyDescent="0.25">
      <c r="A15" s="1181"/>
      <c r="B15" s="1181"/>
      <c r="C15" s="1181"/>
      <c r="D15" s="133"/>
      <c r="E15" s="133"/>
      <c r="F15" s="1147" t="s">
        <v>80</v>
      </c>
      <c r="G15" s="1148"/>
      <c r="H15" s="1148"/>
      <c r="I15" s="1149"/>
      <c r="J15" s="277"/>
      <c r="K15" s="179"/>
      <c r="L15" s="133"/>
      <c r="M15" s="19"/>
      <c r="N15" s="19"/>
      <c r="O15" s="10"/>
      <c r="P15" s="10"/>
      <c r="Q15" s="10"/>
      <c r="R15" s="10"/>
      <c r="S15" s="10"/>
    </row>
    <row r="16" spans="1:20" s="14" customFormat="1" ht="15" customHeight="1" x14ac:dyDescent="0.25">
      <c r="A16" s="1181"/>
      <c r="B16" s="1181"/>
      <c r="C16" s="1181"/>
      <c r="D16" s="133"/>
      <c r="E16" s="133"/>
      <c r="F16" s="1160" t="s">
        <v>304</v>
      </c>
      <c r="G16" s="1160" t="s">
        <v>71</v>
      </c>
      <c r="H16" s="1160" t="s">
        <v>50</v>
      </c>
      <c r="I16" s="1160" t="s">
        <v>70</v>
      </c>
      <c r="J16" s="283"/>
      <c r="K16" s="258"/>
      <c r="L16" s="225"/>
      <c r="M16" s="19"/>
      <c r="N16" s="19"/>
      <c r="O16" s="10"/>
      <c r="P16" s="10"/>
      <c r="Q16" s="10"/>
      <c r="R16" s="10"/>
      <c r="S16" s="10"/>
    </row>
    <row r="17" spans="1:21" s="14" customFormat="1" ht="15" customHeight="1" x14ac:dyDescent="0.25">
      <c r="A17" s="1163" t="s">
        <v>302</v>
      </c>
      <c r="B17" s="1163"/>
      <c r="C17" s="1162" t="s">
        <v>18</v>
      </c>
      <c r="D17" s="133"/>
      <c r="E17" s="133"/>
      <c r="F17" s="1161"/>
      <c r="G17" s="1161"/>
      <c r="H17" s="1161"/>
      <c r="I17" s="1161"/>
      <c r="J17" s="283"/>
      <c r="K17" s="258"/>
      <c r="L17" s="225"/>
      <c r="M17" s="19"/>
      <c r="N17" s="19"/>
      <c r="O17" s="10"/>
      <c r="P17" s="10"/>
      <c r="Q17" s="10"/>
      <c r="R17" s="10"/>
      <c r="S17" s="10"/>
    </row>
    <row r="18" spans="1:21" s="14" customFormat="1" ht="15" customHeight="1" x14ac:dyDescent="0.25">
      <c r="A18" s="1163"/>
      <c r="B18" s="1163"/>
      <c r="C18" s="1162"/>
      <c r="D18" s="133"/>
      <c r="E18" s="133"/>
      <c r="F18" s="1084">
        <f>IF('Stream Parts I-II'!C79="","",'Stream Parts I-II'!C79)</f>
        <v>0.64500000000000002</v>
      </c>
      <c r="G18" s="1099" t="str">
        <f>IF(F18="","",IF(F18="Check Data","Check Data in Stream Parts I-II",IF(OR(C10="",C23="",H10=""),"",F18+C10+C23+H10)))</f>
        <v/>
      </c>
      <c r="H18" s="1086">
        <f>'Stream Parts I-II'!C4</f>
        <v>100</v>
      </c>
      <c r="I18" s="1086" t="str">
        <f>IF(OR(G18="",H18=""),"",IF(F18="Check Data","Check Data",ROUND(G18*H18,2)))</f>
        <v/>
      </c>
      <c r="J18" s="284"/>
      <c r="K18" s="236"/>
      <c r="M18" s="19"/>
      <c r="N18" s="226" t="s">
        <v>119</v>
      </c>
      <c r="O18" s="10"/>
      <c r="P18" s="10"/>
      <c r="Q18" s="10"/>
      <c r="R18" s="10"/>
      <c r="S18" s="10"/>
    </row>
    <row r="19" spans="1:21" s="14" customFormat="1" ht="15" customHeight="1" x14ac:dyDescent="0.25">
      <c r="A19" s="1102" t="str">
        <f>IF(OR($C8='Lists and Arrays'!$S$5,$C8='Lists and Arrays'!$S$6),0,IF(C19="","",VLOOKUP(C19,'Lists and Arrays'!$S$30:$T$61,2,0)))</f>
        <v/>
      </c>
      <c r="B19" s="1103"/>
      <c r="C19" s="1088"/>
      <c r="D19" s="133"/>
      <c r="E19" s="133"/>
      <c r="F19" s="1085"/>
      <c r="G19" s="1100"/>
      <c r="H19" s="1087"/>
      <c r="I19" s="1087"/>
      <c r="J19" s="284"/>
      <c r="K19" s="236"/>
      <c r="L19" s="226"/>
      <c r="M19" s="39"/>
      <c r="N19" s="19"/>
      <c r="O19" s="10"/>
      <c r="P19" s="10"/>
      <c r="Q19" s="10"/>
      <c r="R19" s="10"/>
      <c r="S19" s="10"/>
    </row>
    <row r="20" spans="1:21" s="14" customFormat="1" ht="4.95" customHeight="1" x14ac:dyDescent="0.25">
      <c r="A20" s="1104"/>
      <c r="B20" s="1105"/>
      <c r="C20" s="1089"/>
      <c r="D20" s="133"/>
      <c r="E20" s="133"/>
      <c r="F20" s="133"/>
      <c r="G20" s="133"/>
      <c r="H20" s="133"/>
      <c r="I20" s="132"/>
      <c r="J20" s="132"/>
      <c r="K20" s="174"/>
      <c r="L20" s="132"/>
      <c r="M20" s="19"/>
      <c r="N20" s="19"/>
      <c r="O20" s="10"/>
      <c r="P20" s="10"/>
      <c r="Q20" s="10"/>
      <c r="R20" s="10"/>
      <c r="S20" s="10"/>
    </row>
    <row r="21" spans="1:21" s="14" customFormat="1" ht="4.95" customHeight="1" x14ac:dyDescent="0.25">
      <c r="A21" s="1104"/>
      <c r="B21" s="1105"/>
      <c r="C21" s="1089"/>
      <c r="D21" s="133"/>
      <c r="E21" s="133"/>
      <c r="F21" s="133"/>
      <c r="G21" s="133"/>
      <c r="H21" s="133"/>
      <c r="I21" s="133"/>
      <c r="J21" s="133"/>
      <c r="K21" s="174"/>
      <c r="L21" s="132"/>
      <c r="M21" s="19"/>
      <c r="N21" s="19"/>
      <c r="O21" s="10"/>
      <c r="P21" s="10"/>
      <c r="Q21" s="10"/>
      <c r="R21" s="10"/>
      <c r="S21" s="10"/>
    </row>
    <row r="22" spans="1:21" s="14" customFormat="1" ht="4.95" customHeight="1" x14ac:dyDescent="0.25">
      <c r="A22" s="1106"/>
      <c r="B22" s="1107"/>
      <c r="C22" s="1090"/>
      <c r="D22" s="133"/>
      <c r="E22" s="133"/>
      <c r="F22" s="133"/>
      <c r="G22" s="133"/>
      <c r="H22" s="133"/>
      <c r="I22" s="133"/>
      <c r="J22" s="133"/>
      <c r="K22" s="174"/>
      <c r="L22" s="132"/>
      <c r="M22" s="10"/>
      <c r="N22" s="10"/>
      <c r="O22" s="10"/>
      <c r="P22" s="10"/>
      <c r="Q22" s="10"/>
      <c r="R22" s="10"/>
      <c r="S22" s="10"/>
    </row>
    <row r="23" spans="1:21" s="14" customFormat="1" ht="19.95" customHeight="1" x14ac:dyDescent="0.25">
      <c r="A23" s="1101" t="s">
        <v>301</v>
      </c>
      <c r="B23" s="1101"/>
      <c r="C23" s="248" t="str">
        <f>IF(F18="Check Data","Check Data",IF(A19="","",A19*F18))</f>
        <v/>
      </c>
      <c r="D23" s="133"/>
      <c r="E23" s="177"/>
      <c r="F23" s="133"/>
      <c r="G23" s="133"/>
      <c r="H23" s="133"/>
      <c r="I23" s="133"/>
      <c r="J23" s="133"/>
      <c r="K23" s="174"/>
      <c r="L23" s="132"/>
      <c r="M23" s="10"/>
      <c r="N23" s="10"/>
      <c r="O23" s="10"/>
      <c r="P23" s="10"/>
      <c r="Q23" s="10"/>
      <c r="R23" s="10"/>
      <c r="S23" s="10"/>
    </row>
    <row r="24" spans="1:21" s="14" customFormat="1" ht="12.75" hidden="1" customHeight="1" x14ac:dyDescent="0.25">
      <c r="A24" s="227"/>
      <c r="B24" s="227"/>
      <c r="C24" s="228"/>
      <c r="D24" s="177"/>
      <c r="E24" s="133"/>
      <c r="F24" s="133"/>
      <c r="G24" s="133"/>
      <c r="H24" s="133"/>
      <c r="I24" s="133"/>
      <c r="J24" s="133"/>
      <c r="K24" s="174"/>
      <c r="L24" s="132"/>
      <c r="M24" s="10"/>
      <c r="N24" s="10"/>
      <c r="O24" s="10"/>
      <c r="P24" s="10"/>
      <c r="Q24" s="10"/>
      <c r="R24" s="10"/>
      <c r="S24" s="10"/>
    </row>
    <row r="25" spans="1:21" s="14" customFormat="1" ht="3" customHeight="1" x14ac:dyDescent="0.25">
      <c r="A25" s="229"/>
      <c r="B25" s="230"/>
      <c r="C25" s="230"/>
      <c r="D25" s="230"/>
      <c r="E25" s="229"/>
      <c r="F25" s="229"/>
      <c r="G25" s="229"/>
      <c r="H25" s="229"/>
      <c r="I25" s="229"/>
      <c r="J25" s="302"/>
      <c r="K25" s="162"/>
      <c r="L25" s="132"/>
      <c r="M25" s="10"/>
      <c r="N25" s="10"/>
      <c r="O25" s="10"/>
      <c r="P25" s="10"/>
      <c r="Q25" s="10"/>
      <c r="R25" s="10"/>
      <c r="S25" s="10"/>
    </row>
    <row r="26" spans="1:21" s="14" customFormat="1" ht="24.75" customHeight="1" x14ac:dyDescent="0.25">
      <c r="A26" s="1096" t="s">
        <v>120</v>
      </c>
      <c r="B26" s="1097"/>
      <c r="C26" s="1097"/>
      <c r="D26" s="1097"/>
      <c r="E26" s="1097"/>
      <c r="F26" s="1097"/>
      <c r="G26" s="1097"/>
      <c r="H26" s="1097"/>
      <c r="I26" s="1097"/>
      <c r="J26" s="1098"/>
      <c r="K26" s="179"/>
      <c r="L26" s="132"/>
      <c r="M26" s="10"/>
      <c r="N26" s="10"/>
      <c r="O26" s="10"/>
      <c r="P26" s="10"/>
      <c r="Q26" s="10"/>
      <c r="R26" s="10"/>
      <c r="S26" s="10"/>
    </row>
    <row r="27" spans="1:21" s="14" customFormat="1" ht="60" customHeight="1" x14ac:dyDescent="0.25">
      <c r="A27" s="231" t="s">
        <v>72</v>
      </c>
      <c r="B27" s="232" t="str">
        <f>I18</f>
        <v/>
      </c>
      <c r="C27" s="231" t="s">
        <v>77</v>
      </c>
      <c r="D27" s="233" t="str">
        <f>IF(D2="N/A","N/A",'Stream Parts I-II'!J79)</f>
        <v/>
      </c>
      <c r="E27" s="231" t="s">
        <v>76</v>
      </c>
      <c r="F27" s="232" t="str">
        <f>IF(F2="N/A","N/A",'Stream Parts I-II'!P79)</f>
        <v/>
      </c>
      <c r="G27" s="231" t="s">
        <v>79</v>
      </c>
      <c r="H27" s="232" t="str">
        <f>IF(H2="N/A","N/A",'Stream Parts I-II'!U79)</f>
        <v/>
      </c>
      <c r="I27" s="234" t="s">
        <v>57</v>
      </c>
      <c r="J27" s="232" t="str">
        <f>IF(J2="N/A","N/A",'Stream Parts I-II'!AA79)</f>
        <v/>
      </c>
      <c r="K27" s="261"/>
      <c r="L27" s="235"/>
      <c r="M27" s="12"/>
      <c r="N27" s="10"/>
      <c r="O27" s="10"/>
      <c r="P27" s="10"/>
      <c r="Q27" s="10"/>
      <c r="R27" s="10"/>
      <c r="S27" s="10"/>
      <c r="T27" s="10"/>
      <c r="U27" s="10"/>
    </row>
    <row r="28" spans="1:21" s="14" customFormat="1" ht="24.75" customHeight="1" x14ac:dyDescent="0.25">
      <c r="A28" s="1081" t="s">
        <v>264</v>
      </c>
      <c r="B28" s="1082"/>
      <c r="C28" s="1082"/>
      <c r="D28" s="1083"/>
      <c r="E28" s="231"/>
      <c r="F28" s="254" t="str">
        <f>IF(OR(D27="N/A",F27="N/A"),"N/A",IF(OR($D27="",$D27="Check Data",F27="",F27="Check Data"),"Check Data",F27-$D27))</f>
        <v>Check Data</v>
      </c>
      <c r="G28" s="253"/>
      <c r="H28" s="254" t="str">
        <f>IF(OR(D27="N/A",H27="N/A"),"N/A",IF(OR($D27="",$D27="Check Data",H27="",H27="Check Data"),"Check Data",H27-$D27))</f>
        <v>Check Data</v>
      </c>
      <c r="I28" s="253"/>
      <c r="J28" s="254" t="str">
        <f>IF(OR(D27="N/A",J27="N/A"),"N/A",IF(OR($D27="",$D27="Check Data",J27="",J27="Check Data"),"Check Data",J27-$D27))</f>
        <v>Check Data</v>
      </c>
      <c r="K28" s="261"/>
      <c r="L28" s="235"/>
      <c r="M28" s="32"/>
      <c r="N28" s="10"/>
      <c r="O28" s="10"/>
      <c r="P28" s="10"/>
      <c r="Q28" s="10"/>
      <c r="R28" s="10"/>
      <c r="S28" s="10"/>
      <c r="T28" s="10"/>
      <c r="U28" s="10"/>
    </row>
    <row r="29" spans="1:21" s="14" customFormat="1" ht="3" customHeight="1" x14ac:dyDescent="0.25">
      <c r="A29" s="133"/>
      <c r="B29" s="133"/>
      <c r="C29" s="133"/>
      <c r="D29" s="133"/>
      <c r="E29" s="133"/>
      <c r="F29" s="133"/>
      <c r="G29" s="133"/>
      <c r="H29" s="133"/>
      <c r="I29" s="133"/>
      <c r="J29" s="133"/>
      <c r="K29" s="174"/>
      <c r="L29" s="132"/>
      <c r="M29" s="11"/>
      <c r="N29" s="10"/>
      <c r="O29" s="10"/>
      <c r="P29" s="10"/>
      <c r="Q29" s="10"/>
      <c r="R29" s="10"/>
      <c r="S29" s="10"/>
    </row>
    <row r="30" spans="1:21" s="14" customFormat="1" ht="24.75" customHeight="1" x14ac:dyDescent="0.25">
      <c r="A30" s="1096" t="s">
        <v>121</v>
      </c>
      <c r="B30" s="1097"/>
      <c r="C30" s="1097"/>
      <c r="D30" s="1097"/>
      <c r="E30" s="1097"/>
      <c r="F30" s="1097"/>
      <c r="G30" s="1097"/>
      <c r="H30" s="1097"/>
      <c r="I30" s="1097"/>
      <c r="J30" s="1098"/>
      <c r="K30" s="179"/>
      <c r="L30" s="132"/>
      <c r="M30" s="22" t="s">
        <v>87</v>
      </c>
      <c r="N30" s="22"/>
      <c r="O30" s="22"/>
      <c r="P30" s="22"/>
      <c r="Q30" s="22"/>
      <c r="R30" s="22"/>
      <c r="S30" s="10"/>
    </row>
    <row r="31" spans="1:21" s="37" customFormat="1" ht="45.75" customHeight="1" x14ac:dyDescent="0.25">
      <c r="A31" s="1094" t="s">
        <v>489</v>
      </c>
      <c r="B31" s="1095"/>
      <c r="C31" s="1095"/>
      <c r="D31" s="1095"/>
      <c r="E31" s="556"/>
      <c r="F31" s="1117" t="s">
        <v>482</v>
      </c>
      <c r="G31" s="1118"/>
      <c r="H31" s="1118"/>
      <c r="I31" s="1118"/>
      <c r="J31" s="1119"/>
      <c r="K31" s="260"/>
      <c r="L31" s="176"/>
      <c r="M31" s="35" t="s">
        <v>89</v>
      </c>
      <c r="N31" s="35"/>
      <c r="O31" s="236"/>
      <c r="P31" s="35"/>
      <c r="Q31" s="35"/>
      <c r="R31" s="35"/>
      <c r="S31" s="36"/>
    </row>
    <row r="32" spans="1:21" s="37" customFormat="1" ht="17.25" customHeight="1" x14ac:dyDescent="0.25">
      <c r="A32" s="1091" t="s">
        <v>268</v>
      </c>
      <c r="B32" s="1092"/>
      <c r="C32" s="1092"/>
      <c r="D32" s="1093"/>
      <c r="E32" s="252"/>
      <c r="F32" s="1120"/>
      <c r="G32" s="1121"/>
      <c r="H32" s="1121"/>
      <c r="I32" s="1121"/>
      <c r="J32" s="1122"/>
      <c r="K32" s="260"/>
      <c r="L32" s="176"/>
      <c r="M32" s="35"/>
      <c r="N32" s="35"/>
      <c r="O32" s="236"/>
      <c r="P32" s="35"/>
      <c r="Q32" s="35"/>
      <c r="R32" s="35"/>
      <c r="S32" s="36"/>
    </row>
    <row r="33" spans="1:19" s="14" customFormat="1" ht="27.75" customHeight="1" x14ac:dyDescent="0.25">
      <c r="A33" s="1055" t="s">
        <v>478</v>
      </c>
      <c r="B33" s="1056"/>
      <c r="C33" s="1056"/>
      <c r="D33" s="1057"/>
      <c r="E33" s="34"/>
      <c r="F33" s="303" t="s">
        <v>111</v>
      </c>
      <c r="G33" s="1108" t="s">
        <v>99</v>
      </c>
      <c r="H33" s="1109"/>
      <c r="I33" s="1109"/>
      <c r="J33" s="1110"/>
      <c r="K33" s="260"/>
      <c r="L33" s="146"/>
      <c r="M33" s="1157" t="s">
        <v>497</v>
      </c>
      <c r="N33" s="241" t="b">
        <v>0</v>
      </c>
      <c r="O33" s="237"/>
      <c r="P33" s="22"/>
      <c r="Q33" s="22"/>
      <c r="R33" s="22"/>
      <c r="S33" s="10"/>
    </row>
    <row r="34" spans="1:19" s="14" customFormat="1" ht="27.75" customHeight="1" x14ac:dyDescent="0.25">
      <c r="A34" s="1055" t="s">
        <v>479</v>
      </c>
      <c r="B34" s="1056"/>
      <c r="C34" s="1056"/>
      <c r="D34" s="1057"/>
      <c r="E34" s="34"/>
      <c r="F34" s="1125"/>
      <c r="G34" s="239" t="str">
        <f>IF(D71=25,"26-50","0-50")</f>
        <v>0-50</v>
      </c>
      <c r="H34" s="1123"/>
      <c r="I34" s="1123"/>
      <c r="J34" s="1123"/>
      <c r="K34" s="260"/>
      <c r="L34" s="238"/>
      <c r="M34" s="1157"/>
      <c r="N34" s="241" t="b">
        <v>0</v>
      </c>
      <c r="O34" s="237"/>
      <c r="P34" s="22" t="s">
        <v>90</v>
      </c>
      <c r="Q34" s="22"/>
      <c r="R34" s="22"/>
      <c r="S34" s="10"/>
    </row>
    <row r="35" spans="1:19" s="14" customFormat="1" ht="27.75" customHeight="1" x14ac:dyDescent="0.25">
      <c r="A35" s="1055" t="s">
        <v>480</v>
      </c>
      <c r="B35" s="1056"/>
      <c r="C35" s="1056"/>
      <c r="D35" s="1057"/>
      <c r="E35" s="34"/>
      <c r="F35" s="1125"/>
      <c r="G35" s="239" t="s">
        <v>101</v>
      </c>
      <c r="H35" s="1123"/>
      <c r="I35" s="1123"/>
      <c r="J35" s="1123"/>
      <c r="K35" s="346"/>
      <c r="L35" s="240">
        <f>IF(F34&gt;50,50,F34)</f>
        <v>0</v>
      </c>
      <c r="M35" s="51" t="str">
        <f>'Lists and Arrays'!V5</f>
        <v>None</v>
      </c>
      <c r="N35" s="241" t="b">
        <v>0</v>
      </c>
      <c r="O35" s="237"/>
      <c r="P35" s="22" t="s">
        <v>88</v>
      </c>
      <c r="Q35" s="22"/>
      <c r="R35" s="22"/>
      <c r="S35" s="10"/>
    </row>
    <row r="36" spans="1:19" s="14" customFormat="1" ht="27.75" customHeight="1" x14ac:dyDescent="0.25">
      <c r="A36" s="162"/>
      <c r="B36" s="162"/>
      <c r="C36" s="162"/>
      <c r="D36" s="34"/>
      <c r="E36" s="34"/>
      <c r="F36" s="303" t="s">
        <v>111</v>
      </c>
      <c r="G36" s="1108" t="s">
        <v>100</v>
      </c>
      <c r="H36" s="1109"/>
      <c r="I36" s="1109"/>
      <c r="J36" s="1110"/>
      <c r="K36" s="346"/>
      <c r="L36" s="240">
        <f>IF(F34&gt;50,F34,0)</f>
        <v>0</v>
      </c>
      <c r="M36" s="612" t="str">
        <f>'Lists and Arrays'!V6</f>
        <v>Preservation</v>
      </c>
      <c r="N36" s="30">
        <f>COUNTIF(N33:N35,TRUE)</f>
        <v>0</v>
      </c>
      <c r="O36" s="237"/>
      <c r="P36" s="22" t="s">
        <v>91</v>
      </c>
      <c r="Q36" s="22"/>
      <c r="R36" s="22"/>
      <c r="S36" s="10"/>
    </row>
    <row r="37" spans="1:19" s="14" customFormat="1" ht="27.75" customHeight="1" x14ac:dyDescent="0.25">
      <c r="A37" s="1064" t="s">
        <v>269</v>
      </c>
      <c r="B37" s="1065"/>
      <c r="C37" s="1065"/>
      <c r="D37" s="1066"/>
      <c r="E37" s="146"/>
      <c r="F37" s="1125"/>
      <c r="G37" s="239" t="str">
        <f>IF(D71=25,"26-50","0-50")</f>
        <v>0-50</v>
      </c>
      <c r="H37" s="1124"/>
      <c r="I37" s="1124"/>
      <c r="J37" s="1124"/>
      <c r="K37" s="260"/>
      <c r="L37" s="238"/>
      <c r="M37" s="612" t="str">
        <f>'Lists and Arrays'!V7</f>
        <v>Preservation &amp; Supplemental Planting</v>
      </c>
      <c r="N37" s="19"/>
      <c r="O37" s="251" t="b">
        <v>0</v>
      </c>
      <c r="P37" s="19"/>
      <c r="Q37" s="10"/>
      <c r="R37" s="10"/>
      <c r="S37" s="10"/>
    </row>
    <row r="38" spans="1:19" s="14" customFormat="1" ht="27.75" customHeight="1" x14ac:dyDescent="0.25">
      <c r="A38" s="1067"/>
      <c r="B38" s="1068"/>
      <c r="C38" s="1068"/>
      <c r="D38" s="1069"/>
      <c r="E38" s="146"/>
      <c r="F38" s="1125"/>
      <c r="G38" s="242" t="s">
        <v>101</v>
      </c>
      <c r="H38" s="1123"/>
      <c r="I38" s="1123"/>
      <c r="J38" s="1123"/>
      <c r="K38" s="346"/>
      <c r="L38" s="240">
        <f>IF(F37&gt;50,50,F37)</f>
        <v>0</v>
      </c>
      <c r="M38" s="613" t="str">
        <f>'Lists and Arrays'!V8</f>
        <v>Preservation &amp; Re-vegetation</v>
      </c>
      <c r="N38" s="19"/>
      <c r="O38" s="19">
        <f>IF(O37=TRUE,0.05,0)</f>
        <v>0</v>
      </c>
      <c r="P38" s="19"/>
      <c r="Q38" s="10"/>
      <c r="R38" s="10"/>
      <c r="S38" s="10"/>
    </row>
    <row r="39" spans="1:19" s="14" customFormat="1" ht="16.2" customHeight="1" x14ac:dyDescent="0.25">
      <c r="A39" s="34"/>
      <c r="B39" s="255"/>
      <c r="C39" s="255"/>
      <c r="D39" s="20"/>
      <c r="E39" s="146"/>
      <c r="F39" s="1077" t="s">
        <v>112</v>
      </c>
      <c r="G39" s="1111">
        <f>(F34+F37)/2</f>
        <v>0</v>
      </c>
      <c r="H39" s="1113" t="str">
        <f>IF(AND('Stream Parts I-II'!G4="PRESERVATION",OR('Stream Parts III-VI'!H34='Stream Parts III-VI'!M37,'Stream Parts III-VI'!H34='Stream Parts III-VI'!M38,'Stream Parts III-VI'!H35='Stream Parts III-VI'!M37,'Stream Parts III-VI'!H35='Stream Parts III-VI'!M38,'Stream Parts III-VI'!H37='Stream Parts III-VI'!M37,'Stream Parts III-VI'!H37='Stream Parts III-VI'!M38,'Stream Parts III-VI'!H38='Stream Parts III-VI'!M37,'Stream Parts III-VI'!H38='Stream Parts III-VI'!M38)),"When PRESERVATION mitigation is used, buffers may only include Preservation.","")</f>
        <v/>
      </c>
      <c r="I39" s="1114"/>
      <c r="J39" s="1114"/>
      <c r="K39" s="346"/>
      <c r="L39" s="240">
        <f>IF(F37&gt;50,F37,0)</f>
        <v>0</v>
      </c>
      <c r="M39" s="11"/>
      <c r="N39" s="19"/>
      <c r="O39" s="19"/>
      <c r="P39" s="19"/>
      <c r="Q39" s="10"/>
      <c r="R39" s="10"/>
      <c r="S39" s="10"/>
    </row>
    <row r="40" spans="1:19" s="14" customFormat="1" ht="16.2" customHeight="1" x14ac:dyDescent="0.25">
      <c r="A40" s="304"/>
      <c r="B40" s="304"/>
      <c r="C40" s="304"/>
      <c r="D40" s="615"/>
      <c r="E40" s="174"/>
      <c r="F40" s="1078"/>
      <c r="G40" s="1112"/>
      <c r="H40" s="1115"/>
      <c r="I40" s="1116"/>
      <c r="J40" s="1116"/>
      <c r="K40" s="146"/>
      <c r="L40" s="146"/>
      <c r="M40" s="11"/>
      <c r="N40" s="11"/>
      <c r="O40" s="11"/>
      <c r="P40" s="11"/>
      <c r="Q40" s="10"/>
      <c r="R40" s="10"/>
      <c r="S40" s="10"/>
    </row>
    <row r="41" spans="1:19" s="14" customFormat="1" ht="5.25" customHeight="1" thickBot="1" x14ac:dyDescent="0.3">
      <c r="A41" s="243"/>
      <c r="B41" s="173"/>
      <c r="C41" s="244"/>
      <c r="D41" s="146"/>
      <c r="E41" s="174"/>
      <c r="F41" s="174"/>
      <c r="G41" s="278"/>
      <c r="H41" s="174"/>
      <c r="I41" s="245"/>
      <c r="J41" s="174"/>
      <c r="K41" s="174"/>
      <c r="L41" s="133"/>
      <c r="M41" s="11"/>
      <c r="N41" s="11"/>
      <c r="O41" s="11"/>
      <c r="P41" s="11"/>
      <c r="Q41" s="10"/>
      <c r="R41" s="10"/>
      <c r="S41" s="10"/>
    </row>
    <row r="42" spans="1:19" s="14" customFormat="1" ht="38.25" customHeight="1" thickBot="1" x14ac:dyDescent="0.3">
      <c r="A42" s="1062" t="s">
        <v>488</v>
      </c>
      <c r="B42" s="1063"/>
      <c r="C42" s="246" t="s">
        <v>64</v>
      </c>
      <c r="D42" s="305" t="s">
        <v>86</v>
      </c>
      <c r="E42" s="1076" t="str">
        <f>IF(N36&gt;1,"Be sure to select only one restoration activity level.","")</f>
        <v/>
      </c>
      <c r="F42" s="146"/>
      <c r="G42" s="1072" t="s">
        <v>275</v>
      </c>
      <c r="H42" s="1073"/>
      <c r="I42" s="1079" t="s">
        <v>81</v>
      </c>
      <c r="J42" s="1080"/>
      <c r="K42" s="174"/>
      <c r="L42" s="133"/>
      <c r="M42" s="11"/>
      <c r="N42" s="11"/>
      <c r="O42" s="11"/>
      <c r="P42" s="11"/>
      <c r="Q42" s="10"/>
      <c r="R42" s="10"/>
      <c r="S42" s="10"/>
    </row>
    <row r="43" spans="1:19" s="14" customFormat="1" ht="27.75" customHeight="1" thickBot="1" x14ac:dyDescent="0.3">
      <c r="A43" s="1060" t="str">
        <f>'Stream Parts I-II'!R3</f>
        <v>Test stream</v>
      </c>
      <c r="B43" s="1061"/>
      <c r="C43" s="336" t="str">
        <f>I18</f>
        <v/>
      </c>
      <c r="D43" s="337" t="str">
        <f>I43</f>
        <v>Check Data</v>
      </c>
      <c r="E43" s="1076"/>
      <c r="F43" s="287"/>
      <c r="G43" s="1074" t="str">
        <f>IF('Stream Parts I-II'!G73&lt;&gt;"",'Stream Parts I-II'!G73,IF('Stream Parts I-II'!G4="PRESERVATION",N60, "Only Active During Preservation"))</f>
        <v>Only Active During Preservation</v>
      </c>
      <c r="H43" s="1075"/>
      <c r="I43" s="1070" t="str">
        <f>IF(OR(D27="N/A",F27="N/A"),"N/A",IF(H39&lt;&gt;"","Check Data",IF('Stream Parts I-II'!G73&lt;&gt;"","Check Data",IF(J28="Check Data","Check Data",IF('Stream Parts I-II'!G4="PRESERVATION",J53,J47)))))</f>
        <v>Check Data</v>
      </c>
      <c r="J43" s="1071"/>
      <c r="K43" s="260"/>
      <c r="L43" s="146"/>
      <c r="M43" s="11"/>
      <c r="N43" s="11"/>
      <c r="O43" s="11"/>
      <c r="P43" s="11"/>
      <c r="Q43" s="10"/>
      <c r="R43" s="10"/>
      <c r="S43" s="10"/>
    </row>
    <row r="44" spans="1:19" s="14" customFormat="1" ht="6" customHeight="1" x14ac:dyDescent="0.25">
      <c r="A44" s="146"/>
      <c r="B44" s="146"/>
      <c r="C44" s="146" t="s">
        <v>27</v>
      </c>
      <c r="D44" s="146"/>
      <c r="F44" s="287"/>
      <c r="H44" s="146"/>
      <c r="I44" s="146"/>
      <c r="J44" s="146"/>
      <c r="K44" s="263"/>
      <c r="L44" s="146"/>
      <c r="M44" s="11"/>
      <c r="N44" s="11"/>
      <c r="O44" s="11"/>
      <c r="P44" s="11"/>
      <c r="Q44" s="10"/>
      <c r="R44" s="10"/>
      <c r="S44" s="10"/>
    </row>
    <row r="45" spans="1:19" s="14" customFormat="1" ht="3" customHeight="1" x14ac:dyDescent="0.25">
      <c r="A45" s="146"/>
      <c r="B45" s="146"/>
      <c r="C45" s="146"/>
      <c r="D45" s="146"/>
      <c r="E45" s="287"/>
      <c r="F45" s="146"/>
      <c r="G45" s="146"/>
      <c r="H45" s="146"/>
      <c r="I45" s="146"/>
      <c r="J45" s="146"/>
      <c r="K45" s="146"/>
      <c r="L45" s="247"/>
      <c r="M45" s="45"/>
      <c r="N45" s="45"/>
      <c r="O45" s="45"/>
      <c r="P45" s="11"/>
      <c r="Q45" s="19"/>
      <c r="R45" s="19"/>
      <c r="S45" s="19"/>
    </row>
    <row r="46" spans="1:19" s="14" customFormat="1" ht="18" hidden="1" customHeight="1" x14ac:dyDescent="0.25">
      <c r="A46" s="395" t="s">
        <v>74</v>
      </c>
      <c r="B46" s="395" t="s">
        <v>343</v>
      </c>
      <c r="C46" s="395" t="s">
        <v>349</v>
      </c>
      <c r="D46" s="1049" t="s">
        <v>345</v>
      </c>
      <c r="E46" s="1049"/>
      <c r="F46" s="1049" t="s">
        <v>346</v>
      </c>
      <c r="G46" s="1049"/>
      <c r="H46" s="1049" t="s">
        <v>347</v>
      </c>
      <c r="I46" s="1049"/>
      <c r="J46" s="395" t="s">
        <v>348</v>
      </c>
      <c r="K46" s="146"/>
      <c r="L46" s="247"/>
      <c r="M46" s="45"/>
      <c r="N46" s="45"/>
      <c r="O46" s="45"/>
      <c r="P46" s="11"/>
      <c r="Q46" s="19"/>
      <c r="R46" s="19"/>
      <c r="S46" s="19"/>
    </row>
    <row r="47" spans="1:19" s="14" customFormat="1" ht="18" hidden="1" customHeight="1" x14ac:dyDescent="0.25">
      <c r="A47" s="396" t="s">
        <v>351</v>
      </c>
      <c r="B47" s="396" t="str">
        <f>IF('Stream Parts I-II'!Y4="","",IF('Stream Parts I-II'!G4="Preservation","",IF(J28="Check Data", "Check Data",ROUND(J28,2))))</f>
        <v>Check Data</v>
      </c>
      <c r="C47" s="396">
        <f>IF('Stream Parts I-II'!Y4="","",IF('Stream Parts I-II'!G4="Preservation","",IF(OR('Stream Parts I-II'!G4="ENHANCEMENT",'Stream Parts I-II'!G4="ESTABLISHMENT"),0,IF(J28="Check Data", "Check Data",ROUND(B64,2)))))</f>
        <v>0</v>
      </c>
      <c r="D47" s="1050" t="str">
        <f>IF('Stream Parts I-II'!Y4="","",IF('Stream Parts I-II'!G4="Preservation","",IF(J28="Check Data", "Check Data",ROUND(J28*O38,2))))</f>
        <v>Check Data</v>
      </c>
      <c r="E47" s="1050"/>
      <c r="F47" s="1050" t="str">
        <f>IF('Stream Parts I-II'!Y4="","",IF('Stream Parts I-II'!G4="Preservation","",IF(J28="Check Data", "Check Data",IF(H59+H63&gt;J28*0.35,ROUND(J28*0.35,2),ROUND(H59+H63,2)))))</f>
        <v>Check Data</v>
      </c>
      <c r="G47" s="1050"/>
      <c r="H47" s="1050" t="str">
        <f>IF('Stream Parts I-II'!Y4="","",IF('Stream Parts I-II'!G4="Preservation","",IF(J28="Check Data", "Check Data",IF(H60+H64&gt;J28*17.5,ROUND(J28*17.5,2),ROUND(H60+H64,2)))))</f>
        <v>Check Data</v>
      </c>
      <c r="I47" s="1050"/>
      <c r="J47" s="394" t="str">
        <f>IF('Stream Parts I-II'!Y4="","",IF('Stream Parts I-II'!G4="Preservation","",IF(J28="Check Data", "Check Data",SUM(B47:I47))))</f>
        <v>Check Data</v>
      </c>
      <c r="K47" s="146"/>
      <c r="L47" s="247"/>
      <c r="M47" s="45"/>
      <c r="N47" s="45"/>
      <c r="O47" s="45"/>
      <c r="P47" s="11"/>
      <c r="Q47" s="19"/>
      <c r="R47" s="19"/>
      <c r="S47" s="19"/>
    </row>
    <row r="48" spans="1:19" s="14" customFormat="1" ht="6.6" hidden="1" customHeight="1" x14ac:dyDescent="0.25">
      <c r="A48" s="383"/>
      <c r="B48" s="146"/>
      <c r="C48" s="146"/>
      <c r="D48" s="146"/>
      <c r="E48" s="287"/>
      <c r="F48" s="146"/>
      <c r="H48" s="146"/>
      <c r="J48" s="146"/>
      <c r="K48" s="146"/>
      <c r="L48" s="247"/>
      <c r="M48" s="45"/>
      <c r="N48" s="45"/>
      <c r="O48" s="45"/>
      <c r="P48" s="11"/>
      <c r="Q48" s="19"/>
      <c r="R48" s="19"/>
      <c r="S48" s="19"/>
    </row>
    <row r="49" spans="1:19" ht="18" hidden="1" customHeight="1" x14ac:dyDescent="0.25">
      <c r="A49" s="395" t="s">
        <v>73</v>
      </c>
      <c r="B49" s="395" t="s">
        <v>350</v>
      </c>
      <c r="C49" s="395" t="s">
        <v>344</v>
      </c>
      <c r="D49" s="1051" t="s">
        <v>345</v>
      </c>
      <c r="E49" s="1052"/>
      <c r="F49" s="1049" t="s">
        <v>346</v>
      </c>
      <c r="G49" s="1049"/>
      <c r="H49" s="1049" t="s">
        <v>347</v>
      </c>
      <c r="I49" s="1049"/>
      <c r="J49" s="395" t="s">
        <v>348</v>
      </c>
      <c r="K49" s="146"/>
      <c r="L49" s="247"/>
      <c r="M49" s="45"/>
      <c r="N49" s="45"/>
      <c r="O49" s="45"/>
      <c r="P49" s="11"/>
      <c r="Q49" s="19"/>
      <c r="R49" s="19"/>
      <c r="S49" s="19"/>
    </row>
    <row r="50" spans="1:19" ht="18" hidden="1" customHeight="1" x14ac:dyDescent="0.25">
      <c r="A50" s="396" t="s">
        <v>351</v>
      </c>
      <c r="B50" s="396" t="str">
        <f>IF('Stream Parts I-II'!G4&lt;&gt;"Preservation","",ROUND((J27/N60),2))</f>
        <v/>
      </c>
      <c r="C50" s="396" t="str">
        <f>IF('Stream Parts I-II'!G4&lt;&gt;"Preservation","",ROUND(B67,2))</f>
        <v/>
      </c>
      <c r="D50" s="1053" t="str">
        <f>IF('Stream Parts I-II'!G4&lt;&gt;"Preservation","",ROUND((J27/N60)*(O38),2))</f>
        <v/>
      </c>
      <c r="E50" s="1054"/>
      <c r="F50" s="1050" t="str">
        <f>IF('Stream Parts I-II'!G4&lt;&gt;"Preservation","",IF(H77+H81&gt;J27/N60*0.35,ROUND(J27/N60*0.35,2),ROUND(H77+H81,2)))</f>
        <v/>
      </c>
      <c r="G50" s="1050"/>
      <c r="H50" s="1050" t="str">
        <f>IF('Stream Parts I-II'!G4&lt;&gt;"Preservation","",IF(H78+H82&gt;J27/N60*0.175,ROUND(J27/N60*0.175,2),ROUND(H78+H82,2)))</f>
        <v/>
      </c>
      <c r="I50" s="1050"/>
      <c r="J50" s="394" t="str">
        <f>IF('Stream Parts I-II'!G4&lt;&gt;"Preservation","",SUM(B50:I50))</f>
        <v/>
      </c>
      <c r="K50" s="30"/>
      <c r="L50" s="45"/>
      <c r="M50" s="45"/>
      <c r="N50" s="45"/>
      <c r="O50" s="45"/>
      <c r="P50" s="11"/>
      <c r="Q50" s="19"/>
      <c r="R50" s="19"/>
      <c r="S50" s="19"/>
    </row>
    <row r="51" spans="1:19" ht="12.75" hidden="1" customHeight="1" x14ac:dyDescent="0.25">
      <c r="A51" s="164"/>
      <c r="B51" s="164"/>
      <c r="C51" s="164"/>
      <c r="D51" s="164"/>
      <c r="E51" s="164"/>
      <c r="F51" s="164"/>
      <c r="H51" s="164"/>
      <c r="J51" s="164"/>
      <c r="K51" s="30"/>
      <c r="L51" s="45"/>
      <c r="M51" s="45"/>
      <c r="N51" s="45"/>
      <c r="O51" s="45"/>
      <c r="P51" s="11"/>
      <c r="Q51" s="19"/>
      <c r="R51" s="19"/>
      <c r="S51" s="19"/>
    </row>
    <row r="52" spans="1:19" ht="17.25" hidden="1" customHeight="1" x14ac:dyDescent="0.25">
      <c r="A52" s="395" t="s">
        <v>73</v>
      </c>
      <c r="B52" s="395" t="s">
        <v>350</v>
      </c>
      <c r="C52" s="395" t="s">
        <v>344</v>
      </c>
      <c r="D52" s="1051" t="s">
        <v>345</v>
      </c>
      <c r="E52" s="1052"/>
      <c r="F52" s="1049" t="s">
        <v>346</v>
      </c>
      <c r="G52" s="1049"/>
      <c r="H52" s="1049" t="s">
        <v>347</v>
      </c>
      <c r="I52" s="1049"/>
      <c r="J52" s="395" t="s">
        <v>348</v>
      </c>
      <c r="K52" s="30"/>
      <c r="L52" s="45"/>
      <c r="M52" s="45"/>
      <c r="N52" s="45"/>
      <c r="O52" s="45"/>
      <c r="P52" s="11"/>
      <c r="Q52" s="19"/>
      <c r="R52" s="19"/>
      <c r="S52" s="19"/>
    </row>
    <row r="53" spans="1:19" ht="17.25" hidden="1" customHeight="1" x14ac:dyDescent="0.25">
      <c r="A53" s="396" t="s">
        <v>352</v>
      </c>
      <c r="B53" s="396" t="str">
        <f>IF('Stream Parts I-II'!G4&lt;&gt;"Preservation","",ROUND(('Stream Parts I-II'!Y4/N60),2))</f>
        <v/>
      </c>
      <c r="C53" s="396" t="str">
        <f>IF('Stream Parts I-II'!G4&lt;&gt;"Preservation","",ROUND(B70,2))</f>
        <v/>
      </c>
      <c r="D53" s="1053" t="str">
        <f>IF('Stream Parts I-II'!G4&lt;&gt;"Preservation","",ROUND((B53)*(O38),2))</f>
        <v/>
      </c>
      <c r="E53" s="1054"/>
      <c r="F53" s="1050" t="str">
        <f>IF('Stream Parts I-II'!G4&lt;&gt;"Preservation","",IF(H92+H96&gt;B53*0.35,ROUND(B53*0.35,2),ROUND(H92+H96,2)))</f>
        <v/>
      </c>
      <c r="G53" s="1050"/>
      <c r="H53" s="1053" t="str">
        <f>IF('Stream Parts I-II'!G4&lt;&gt;"Preservation","",IF(H93+H97&gt;B53*0.175,ROUND(B53*0.175,2),ROUND(H93+H97,2)))</f>
        <v/>
      </c>
      <c r="I53" s="1054"/>
      <c r="J53" s="394" t="str">
        <f>IF('Stream Parts I-II'!G4&lt;&gt;"Preservation","",SUM(B53:H53))</f>
        <v/>
      </c>
      <c r="K53" s="30"/>
      <c r="L53" s="45"/>
      <c r="M53" s="45"/>
      <c r="N53" s="45"/>
      <c r="O53" s="45"/>
      <c r="P53" s="11"/>
      <c r="Q53" s="19"/>
      <c r="R53" s="19"/>
      <c r="S53" s="19"/>
    </row>
    <row r="54" spans="1:19" ht="6" hidden="1" customHeight="1" thickBot="1" x14ac:dyDescent="0.3">
      <c r="A54" s="164"/>
      <c r="B54" s="164"/>
      <c r="C54" s="164"/>
      <c r="D54" s="164"/>
      <c r="E54" s="164"/>
      <c r="F54" s="164"/>
      <c r="G54" s="164"/>
      <c r="H54" s="164"/>
      <c r="I54" s="164"/>
      <c r="J54" s="385"/>
      <c r="K54" s="30"/>
      <c r="L54" s="45"/>
      <c r="M54" s="45"/>
      <c r="N54" s="45"/>
      <c r="O54" s="45"/>
      <c r="P54" s="11"/>
      <c r="Q54" s="19"/>
      <c r="R54" s="19"/>
      <c r="S54" s="19"/>
    </row>
    <row r="55" spans="1:19" ht="41.25" hidden="1" customHeight="1" x14ac:dyDescent="0.25">
      <c r="A55" s="382"/>
      <c r="B55" s="45"/>
      <c r="C55" s="45"/>
      <c r="D55" s="45"/>
      <c r="E55" s="45"/>
      <c r="F55" s="45"/>
      <c r="G55" s="45"/>
      <c r="H55" s="45"/>
      <c r="I55" s="45"/>
      <c r="J55" s="45"/>
      <c r="K55" s="264"/>
      <c r="L55" s="45"/>
      <c r="M55" s="324" t="s">
        <v>127</v>
      </c>
      <c r="N55" s="325" t="s">
        <v>274</v>
      </c>
      <c r="O55" s="326"/>
      <c r="P55" s="327"/>
      <c r="Q55" s="19"/>
      <c r="R55" s="19"/>
      <c r="S55" s="19"/>
    </row>
    <row r="56" spans="1:19" ht="28.5" hidden="1" customHeight="1" thickBot="1" x14ac:dyDescent="0.45">
      <c r="A56" s="45"/>
      <c r="B56" s="45"/>
      <c r="C56" s="290" t="s">
        <v>135</v>
      </c>
      <c r="D56" s="290"/>
      <c r="E56" s="45"/>
      <c r="F56" s="290"/>
      <c r="G56" s="290"/>
      <c r="H56" s="290"/>
      <c r="I56" s="290"/>
      <c r="J56" s="290"/>
      <c r="K56" s="30"/>
      <c r="L56" s="45"/>
      <c r="M56" s="311" t="s">
        <v>272</v>
      </c>
      <c r="N56" s="45">
        <v>10</v>
      </c>
      <c r="O56" s="328">
        <f>1/N56</f>
        <v>0.1</v>
      </c>
      <c r="P56" s="329"/>
      <c r="Q56" s="19"/>
      <c r="R56" s="19"/>
      <c r="S56" s="19"/>
    </row>
    <row r="57" spans="1:19" ht="22.5" hidden="1" customHeight="1" x14ac:dyDescent="0.4">
      <c r="A57" s="1058" t="s">
        <v>102</v>
      </c>
      <c r="B57" s="1059"/>
      <c r="C57" s="308" t="s">
        <v>99</v>
      </c>
      <c r="D57" s="309"/>
      <c r="E57" s="309"/>
      <c r="F57" s="309"/>
      <c r="G57" s="309"/>
      <c r="H57" s="309"/>
      <c r="I57" s="310"/>
      <c r="J57" s="288"/>
      <c r="K57" s="265"/>
      <c r="L57" s="45"/>
      <c r="M57" s="311" t="s">
        <v>273</v>
      </c>
      <c r="N57" s="45">
        <v>16</v>
      </c>
      <c r="O57" s="328">
        <f>1/N57</f>
        <v>6.25E-2</v>
      </c>
      <c r="P57" s="329"/>
      <c r="Q57" s="19"/>
      <c r="R57" s="19"/>
      <c r="S57" s="19"/>
    </row>
    <row r="58" spans="1:19" ht="12.75" hidden="1" customHeight="1" x14ac:dyDescent="0.25">
      <c r="A58" s="333" t="s">
        <v>103</v>
      </c>
      <c r="B58" s="334">
        <v>100</v>
      </c>
      <c r="C58" s="311"/>
      <c r="D58" s="49" t="s">
        <v>108</v>
      </c>
      <c r="E58" s="46" t="s">
        <v>113</v>
      </c>
      <c r="F58" s="50" t="s">
        <v>98</v>
      </c>
      <c r="G58" s="50" t="s">
        <v>92</v>
      </c>
      <c r="H58" s="50" t="s">
        <v>93</v>
      </c>
      <c r="I58" s="312"/>
      <c r="J58" s="47"/>
      <c r="K58" s="266"/>
      <c r="L58" s="45"/>
      <c r="M58" s="311"/>
      <c r="N58" s="45"/>
      <c r="O58" s="328"/>
      <c r="P58" s="329"/>
      <c r="Q58" s="19"/>
      <c r="R58" s="19"/>
      <c r="S58" s="19"/>
    </row>
    <row r="59" spans="1:19" ht="26.25" hidden="1" customHeight="1" x14ac:dyDescent="0.25">
      <c r="A59" s="316" t="s">
        <v>104</v>
      </c>
      <c r="B59" s="334">
        <v>75</v>
      </c>
      <c r="C59" s="311" t="s">
        <v>571</v>
      </c>
      <c r="D59" s="50">
        <f>IF(OR(L35=0,L35="",L35&lt;D71),0,(L35-D71))</f>
        <v>0</v>
      </c>
      <c r="E59" s="48">
        <f>50-D71</f>
        <v>50</v>
      </c>
      <c r="F59" s="50">
        <f>D59/E59</f>
        <v>0</v>
      </c>
      <c r="G59" s="50">
        <f>IF(H34=M36,F68/100*J28,IF(H34=M37,F69/100*J28,IF(H34=M38,F70/100*J28,0)))</f>
        <v>0</v>
      </c>
      <c r="H59" s="50">
        <f>F59*G59</f>
        <v>0</v>
      </c>
      <c r="I59" s="312"/>
      <c r="J59" s="45"/>
      <c r="K59" s="267"/>
      <c r="L59" s="45"/>
      <c r="M59" s="311"/>
      <c r="N59" s="45"/>
      <c r="O59" s="328"/>
      <c r="P59" s="329"/>
      <c r="Q59" s="19"/>
      <c r="R59" s="19"/>
      <c r="S59" s="19"/>
    </row>
    <row r="60" spans="1:19" ht="12.75" hidden="1" customHeight="1" x14ac:dyDescent="0.25">
      <c r="A60" s="316" t="s">
        <v>105</v>
      </c>
      <c r="B60" s="334">
        <v>50</v>
      </c>
      <c r="C60" s="311" t="s">
        <v>571</v>
      </c>
      <c r="D60" s="50">
        <f>IF(OR(L36=0,L36="",L36&lt;50),0,(L36-50))</f>
        <v>0</v>
      </c>
      <c r="E60" s="48">
        <v>100</v>
      </c>
      <c r="F60" s="50">
        <f>D60/E60</f>
        <v>0</v>
      </c>
      <c r="G60" s="50">
        <f>IF(H35=M36,F68/200*J28,IF(H35=M37,F69/200*J28,IF(H35=M38,F70/200*J28,0)))</f>
        <v>0</v>
      </c>
      <c r="H60" s="50">
        <f>F60*G60</f>
        <v>0</v>
      </c>
      <c r="I60" s="312"/>
      <c r="J60" s="45"/>
      <c r="K60" s="30"/>
      <c r="L60" s="45"/>
      <c r="M60" s="311" t="s">
        <v>128</v>
      </c>
      <c r="N60" s="384">
        <f>IF('Stream Parts I-II'!G4="PRESERVATION",O60,0)</f>
        <v>0</v>
      </c>
      <c r="O60" s="45">
        <f>IF(AND('Stream Parts I-II'!H79&lt;=1,'Stream Parts I-II'!H79&gt;=0.9),N56,IF(AND('Stream Parts I-II'!H79&lt;0.9,'Stream Parts I-II'!H79&gt;=0.8),N57,0))</f>
        <v>0</v>
      </c>
      <c r="P60" s="330">
        <f>IF(AND('Stream Parts I-II'!H79&lt;=1,'Stream Parts I-II'!H79&gt;=0.9),O56,IF(AND('Stream Parts I-II'!H79&lt;0.9,'Stream Parts I-II'!H79&gt;=0.8),O57,0))</f>
        <v>0</v>
      </c>
      <c r="Q60" s="19"/>
      <c r="R60" s="19"/>
      <c r="S60" s="19"/>
    </row>
    <row r="61" spans="1:19" ht="12.75" hidden="1" customHeight="1" x14ac:dyDescent="0.25">
      <c r="A61" s="316"/>
      <c r="B61" s="334"/>
      <c r="C61" s="313" t="s">
        <v>100</v>
      </c>
      <c r="D61" s="288"/>
      <c r="E61" s="288"/>
      <c r="F61" s="288"/>
      <c r="G61" s="288"/>
      <c r="H61" s="288"/>
      <c r="I61" s="314"/>
      <c r="J61" s="288"/>
      <c r="K61" s="30"/>
      <c r="L61" s="45"/>
      <c r="M61" s="311"/>
      <c r="N61" s="45"/>
      <c r="O61" s="45"/>
      <c r="P61" s="330"/>
      <c r="Q61" s="19"/>
      <c r="R61" s="19"/>
      <c r="S61" s="19"/>
    </row>
    <row r="62" spans="1:19" ht="12.75" hidden="1" customHeight="1" x14ac:dyDescent="0.25">
      <c r="A62" s="316" t="s">
        <v>106</v>
      </c>
      <c r="B62" s="334">
        <f>IF(N36&gt;1,"Check Data",IF(N33=TRUE,B58,IF(N34=TRUE,B59,IF(N35=TRUE,B60,0))))</f>
        <v>0</v>
      </c>
      <c r="C62" s="311"/>
      <c r="D62" s="49" t="s">
        <v>108</v>
      </c>
      <c r="E62" s="46" t="s">
        <v>113</v>
      </c>
      <c r="F62" s="50" t="s">
        <v>98</v>
      </c>
      <c r="G62" s="50" t="s">
        <v>92</v>
      </c>
      <c r="H62" s="50" t="s">
        <v>93</v>
      </c>
      <c r="I62" s="312"/>
      <c r="J62" s="47"/>
      <c r="K62" s="266"/>
      <c r="L62" s="45"/>
      <c r="M62" s="311"/>
      <c r="N62" s="45"/>
      <c r="O62" s="45"/>
      <c r="P62" s="330"/>
      <c r="Q62" s="19"/>
      <c r="R62" s="19"/>
      <c r="S62" s="19"/>
    </row>
    <row r="63" spans="1:19" ht="24" hidden="1" customHeight="1" x14ac:dyDescent="0.25">
      <c r="A63" s="316" t="s">
        <v>107</v>
      </c>
      <c r="B63" s="334">
        <f>IF(B62="Check Data","Check Data",B62/100)</f>
        <v>0</v>
      </c>
      <c r="C63" s="311" t="s">
        <v>571</v>
      </c>
      <c r="D63" s="50">
        <f>IF(OR(L38=0,L38="",L38&lt;D71),0,(L38-D71))</f>
        <v>0</v>
      </c>
      <c r="E63" s="48">
        <f>50-D71</f>
        <v>50</v>
      </c>
      <c r="F63" s="50">
        <f>D63/E63</f>
        <v>0</v>
      </c>
      <c r="G63" s="50">
        <f>IF(H37=M36,F68/100*J28,IF(H37=M37,F69/100*J28,IF(H37=M38,F70/100*J28,0)))</f>
        <v>0</v>
      </c>
      <c r="H63" s="50">
        <f>F63*G63</f>
        <v>0</v>
      </c>
      <c r="I63" s="312"/>
      <c r="J63" s="45"/>
      <c r="K63" s="267"/>
      <c r="L63" s="45"/>
      <c r="M63" s="331" t="s">
        <v>129</v>
      </c>
      <c r="N63" s="44" t="e">
        <f>J27/N60</f>
        <v>#VALUE!</v>
      </c>
      <c r="O63" s="45"/>
      <c r="P63" s="330"/>
      <c r="Q63" s="19"/>
      <c r="R63" s="19"/>
      <c r="S63" s="19"/>
    </row>
    <row r="64" spans="1:19" ht="12.75" hidden="1" customHeight="1" thickBot="1" x14ac:dyDescent="0.3">
      <c r="A64" s="321" t="s">
        <v>131</v>
      </c>
      <c r="B64" s="335" t="e">
        <f>IF(B63="Check Data", "Check Data",J28*B63)</f>
        <v>#VALUE!</v>
      </c>
      <c r="C64" s="311" t="s">
        <v>571</v>
      </c>
      <c r="D64" s="50">
        <f>IF(OR(L39=0,L39="",L39&lt;50),0,(L39-50))</f>
        <v>0</v>
      </c>
      <c r="E64" s="48">
        <v>100</v>
      </c>
      <c r="F64" s="50">
        <f>D64/E64</f>
        <v>0</v>
      </c>
      <c r="G64" s="50">
        <f>IF(H38=M36,F68/200*J28,IF(H38=M37,F69/200*J28,IF(H38=M38,F70/200*J28,0)))</f>
        <v>0</v>
      </c>
      <c r="H64" s="50">
        <f>F64*G64</f>
        <v>0</v>
      </c>
      <c r="I64" s="312"/>
      <c r="J64" s="45"/>
      <c r="K64" s="30"/>
      <c r="L64" s="45"/>
      <c r="M64" s="311"/>
      <c r="N64" s="45"/>
      <c r="O64" s="45"/>
      <c r="P64" s="330"/>
      <c r="Q64" s="19"/>
      <c r="R64" s="19"/>
      <c r="S64" s="19"/>
    </row>
    <row r="65" spans="1:19" ht="12.75" hidden="1" customHeight="1" thickBot="1" x14ac:dyDescent="0.3">
      <c r="B65" s="45"/>
      <c r="C65" s="390" t="s">
        <v>132</v>
      </c>
      <c r="D65" s="391" t="e">
        <f>IF(((H59+H63)/2)&gt;D68/100*J28,D68/100,((H59+H63)/2)/J28)</f>
        <v>#VALUE!</v>
      </c>
      <c r="E65" s="45"/>
      <c r="F65" s="45"/>
      <c r="G65" s="45"/>
      <c r="H65" s="45"/>
      <c r="I65" s="312"/>
      <c r="J65" s="45"/>
      <c r="K65" s="30"/>
      <c r="L65" s="45"/>
      <c r="M65" s="321" t="s">
        <v>134</v>
      </c>
      <c r="N65" s="322"/>
      <c r="O65" s="322"/>
      <c r="P65" s="332"/>
      <c r="Q65" s="19"/>
      <c r="R65" s="19"/>
      <c r="S65" s="19"/>
    </row>
    <row r="66" spans="1:19" ht="12.75" hidden="1" customHeight="1" x14ac:dyDescent="0.25">
      <c r="A66" s="45"/>
      <c r="B66" s="45"/>
      <c r="C66" s="390" t="s">
        <v>133</v>
      </c>
      <c r="D66" s="392" t="e">
        <f>IF(OR(L36=0,L39=0),IF(((H60+H64)/2)&gt;(D69/2),D69/200,((H60+H64)/2)/J28),IF(((H60+H64)/2)&gt;D69/100*J28,D69/100,((H60+H64)/2)/J28))</f>
        <v>#VALUE!</v>
      </c>
      <c r="E66" s="45"/>
      <c r="F66" s="45"/>
      <c r="G66" s="45"/>
      <c r="H66" s="52" t="s">
        <v>130</v>
      </c>
      <c r="I66" s="315"/>
      <c r="J66" s="45"/>
      <c r="K66" s="30"/>
      <c r="L66" s="45"/>
      <c r="M66" s="45"/>
      <c r="N66" s="45"/>
      <c r="O66" s="45"/>
      <c r="P66" s="32"/>
      <c r="Q66" s="33"/>
      <c r="R66" s="33"/>
      <c r="S66" s="33"/>
    </row>
    <row r="67" spans="1:19" ht="12.75" hidden="1" customHeight="1" x14ac:dyDescent="0.25">
      <c r="A67" s="45"/>
      <c r="B67" s="45"/>
      <c r="C67" s="386" t="s">
        <v>276</v>
      </c>
      <c r="D67" s="387" t="e">
        <f>SUM(D65:D66)</f>
        <v>#VALUE!</v>
      </c>
      <c r="E67" s="45"/>
      <c r="F67" s="45" t="s">
        <v>110</v>
      </c>
      <c r="G67" s="45"/>
      <c r="H67" s="393" t="e">
        <f>J28*D67</f>
        <v>#VALUE!</v>
      </c>
      <c r="I67" s="315"/>
      <c r="J67" s="45"/>
      <c r="K67" s="30"/>
      <c r="L67" s="45"/>
      <c r="M67" s="45"/>
      <c r="N67" s="45"/>
      <c r="O67" s="45"/>
      <c r="P67" s="32"/>
      <c r="Q67" s="33"/>
      <c r="R67" s="33"/>
      <c r="S67" s="33"/>
    </row>
    <row r="68" spans="1:19" ht="12.75" hidden="1" customHeight="1" x14ac:dyDescent="0.25">
      <c r="A68" s="45"/>
      <c r="B68" s="45"/>
      <c r="C68" s="388" t="s">
        <v>96</v>
      </c>
      <c r="D68" s="389">
        <v>35</v>
      </c>
      <c r="E68" s="53" t="s">
        <v>73</v>
      </c>
      <c r="F68" s="45">
        <v>10</v>
      </c>
      <c r="G68" s="45"/>
      <c r="H68" s="45"/>
      <c r="I68" s="312"/>
      <c r="J68" s="45"/>
      <c r="K68" s="30"/>
      <c r="L68" s="45"/>
      <c r="M68" s="45"/>
      <c r="N68" s="45"/>
      <c r="O68" s="45"/>
      <c r="P68" s="32"/>
      <c r="Q68" s="33"/>
      <c r="R68" s="33"/>
      <c r="S68" s="33"/>
    </row>
    <row r="69" spans="1:19" ht="12.75" hidden="1" customHeight="1" x14ac:dyDescent="0.25">
      <c r="A69" s="45"/>
      <c r="B69" s="45"/>
      <c r="C69" s="388" t="s">
        <v>97</v>
      </c>
      <c r="D69" s="389">
        <v>17.5</v>
      </c>
      <c r="E69" s="53" t="s">
        <v>83</v>
      </c>
      <c r="F69" s="45">
        <v>20</v>
      </c>
      <c r="G69" s="45"/>
      <c r="H69" s="45" t="e">
        <f>F47+H47</f>
        <v>#VALUE!</v>
      </c>
      <c r="I69" s="312"/>
      <c r="J69" s="45"/>
      <c r="K69" s="30"/>
      <c r="L69" s="45"/>
      <c r="M69" s="45"/>
      <c r="N69" s="45"/>
      <c r="O69" s="45"/>
      <c r="P69" s="32"/>
      <c r="Q69" s="33"/>
      <c r="R69" s="33"/>
      <c r="S69" s="33"/>
    </row>
    <row r="70" spans="1:19" ht="12.75" hidden="1" customHeight="1" x14ac:dyDescent="0.25">
      <c r="A70" s="45"/>
      <c r="B70" s="45"/>
      <c r="C70" s="311"/>
      <c r="D70" s="45"/>
      <c r="E70" s="53" t="s">
        <v>82</v>
      </c>
      <c r="F70" s="45">
        <v>35</v>
      </c>
      <c r="G70" s="45"/>
      <c r="H70" s="45"/>
      <c r="I70" s="312"/>
      <c r="J70" s="45"/>
      <c r="K70" s="30"/>
      <c r="L70" s="45"/>
      <c r="M70" s="45"/>
      <c r="N70" s="45"/>
      <c r="O70" s="45"/>
      <c r="P70" s="32"/>
      <c r="Q70" s="33"/>
      <c r="R70" s="33"/>
      <c r="S70" s="33"/>
    </row>
    <row r="71" spans="1:19" s="217" customFormat="1" ht="12.75" hidden="1" customHeight="1" thickBot="1" x14ac:dyDescent="0.3">
      <c r="A71" s="45"/>
      <c r="B71" s="45"/>
      <c r="C71" s="317" t="s">
        <v>109</v>
      </c>
      <c r="D71" s="318">
        <v>0</v>
      </c>
      <c r="E71" s="319"/>
      <c r="F71" s="319"/>
      <c r="G71" s="319"/>
      <c r="H71" s="319"/>
      <c r="I71" s="320"/>
      <c r="J71" s="45"/>
      <c r="K71" s="30"/>
      <c r="L71" s="45"/>
      <c r="M71" s="45"/>
      <c r="N71" s="45"/>
      <c r="O71" s="45"/>
      <c r="P71" s="32"/>
      <c r="Q71" s="32"/>
      <c r="R71" s="32"/>
      <c r="S71" s="32"/>
    </row>
    <row r="72" spans="1:19" s="217" customFormat="1" ht="12.75" hidden="1" customHeight="1" x14ac:dyDescent="0.25">
      <c r="A72" s="45"/>
      <c r="B72" s="45"/>
      <c r="C72" s="45"/>
      <c r="D72" s="45"/>
      <c r="E72" s="45"/>
      <c r="F72" s="45"/>
      <c r="G72" s="45"/>
      <c r="H72" s="45"/>
      <c r="I72" s="45"/>
      <c r="J72" s="45"/>
      <c r="K72" s="30"/>
      <c r="L72" s="45"/>
      <c r="M72" s="45"/>
      <c r="N72" s="45"/>
      <c r="O72" s="45"/>
      <c r="P72" s="32"/>
      <c r="Q72" s="32"/>
      <c r="R72" s="32"/>
      <c r="S72" s="32"/>
    </row>
    <row r="73" spans="1:19" s="217" customFormat="1" ht="12.75" hidden="1" customHeight="1" x14ac:dyDescent="0.25">
      <c r="A73" s="45"/>
      <c r="B73" s="45"/>
      <c r="C73" s="45"/>
      <c r="D73" s="45"/>
      <c r="E73" s="45"/>
      <c r="F73" s="45"/>
      <c r="G73" s="45"/>
      <c r="H73" s="45"/>
      <c r="I73" s="45"/>
      <c r="J73" s="45"/>
      <c r="K73" s="30"/>
      <c r="L73" s="45"/>
      <c r="M73" s="45"/>
      <c r="N73" s="45"/>
      <c r="O73" s="45"/>
      <c r="P73" s="32"/>
      <c r="Q73" s="32"/>
      <c r="R73" s="32"/>
      <c r="S73" s="32"/>
    </row>
    <row r="74" spans="1:19" s="217" customFormat="1" ht="12.75" hidden="1" customHeight="1" thickBot="1" x14ac:dyDescent="0.3">
      <c r="A74" s="41"/>
      <c r="B74" s="41"/>
      <c r="C74" s="289" t="s">
        <v>136</v>
      </c>
      <c r="D74" s="289"/>
      <c r="E74" s="289"/>
      <c r="F74" s="289"/>
      <c r="G74" s="289"/>
      <c r="H74" s="289"/>
      <c r="I74" s="289"/>
      <c r="J74" s="41"/>
      <c r="K74" s="30"/>
      <c r="L74" s="45"/>
      <c r="M74" s="45"/>
      <c r="N74" s="45"/>
      <c r="O74" s="45"/>
      <c r="P74" s="32"/>
      <c r="Q74" s="32"/>
      <c r="R74" s="32"/>
      <c r="S74" s="32"/>
    </row>
    <row r="75" spans="1:19" ht="24.75" hidden="1" customHeight="1" x14ac:dyDescent="0.25">
      <c r="A75" s="41"/>
      <c r="B75" s="41"/>
      <c r="C75" s="308" t="s">
        <v>99</v>
      </c>
      <c r="D75" s="309"/>
      <c r="E75" s="309"/>
      <c r="F75" s="309"/>
      <c r="G75" s="309"/>
      <c r="H75" s="309"/>
      <c r="I75" s="310"/>
      <c r="J75" s="288"/>
      <c r="K75" s="23"/>
      <c r="L75" s="41"/>
      <c r="M75" s="41"/>
      <c r="N75" s="44"/>
      <c r="O75" s="44"/>
      <c r="P75" s="33"/>
      <c r="Q75" s="33"/>
      <c r="R75" s="33"/>
      <c r="S75" s="33"/>
    </row>
    <row r="76" spans="1:19" ht="12.75" hidden="1" customHeight="1" x14ac:dyDescent="0.25">
      <c r="A76" s="41"/>
      <c r="B76" s="41"/>
      <c r="C76" s="311"/>
      <c r="D76" s="49" t="s">
        <v>108</v>
      </c>
      <c r="E76" s="46" t="s">
        <v>113</v>
      </c>
      <c r="F76" s="50" t="s">
        <v>98</v>
      </c>
      <c r="G76" s="50" t="s">
        <v>92</v>
      </c>
      <c r="H76" s="50" t="s">
        <v>93</v>
      </c>
      <c r="I76" s="312"/>
      <c r="J76" s="47"/>
      <c r="K76" s="266"/>
      <c r="L76" s="41"/>
      <c r="M76" s="41"/>
      <c r="N76" s="44"/>
      <c r="O76" s="44"/>
      <c r="P76" s="33"/>
      <c r="Q76" s="33"/>
      <c r="R76" s="33"/>
      <c r="S76" s="33"/>
    </row>
    <row r="77" spans="1:19" ht="12.75" hidden="1" customHeight="1" x14ac:dyDescent="0.25">
      <c r="A77" s="41"/>
      <c r="B77" s="41"/>
      <c r="C77" s="311" t="s">
        <v>571</v>
      </c>
      <c r="D77" s="50">
        <f>D59</f>
        <v>0</v>
      </c>
      <c r="E77" s="48">
        <f>50-D89</f>
        <v>50</v>
      </c>
      <c r="F77" s="50">
        <f>D77/E77</f>
        <v>0</v>
      </c>
      <c r="G77" s="50">
        <f>IF(H34=M36,F68/100*(J27/N60),0)</f>
        <v>0</v>
      </c>
      <c r="H77" s="50">
        <f>F77*G77</f>
        <v>0</v>
      </c>
      <c r="I77" s="312"/>
      <c r="J77" s="45"/>
      <c r="K77" s="267"/>
      <c r="L77" s="41"/>
      <c r="M77" s="41"/>
      <c r="N77" s="44"/>
      <c r="O77" s="44"/>
      <c r="P77" s="33"/>
      <c r="Q77" s="33"/>
      <c r="R77" s="33"/>
      <c r="S77" s="33"/>
    </row>
    <row r="78" spans="1:19" ht="12.75" hidden="1" customHeight="1" x14ac:dyDescent="0.25">
      <c r="A78" s="41"/>
      <c r="B78" s="41"/>
      <c r="C78" s="311" t="s">
        <v>571</v>
      </c>
      <c r="D78" s="50">
        <f>D60</f>
        <v>0</v>
      </c>
      <c r="E78" s="48">
        <v>100</v>
      </c>
      <c r="F78" s="50">
        <f>D78/E78</f>
        <v>0</v>
      </c>
      <c r="G78" s="50">
        <f>IF(H35=M36,F68/200*(J27/N60),0)</f>
        <v>0</v>
      </c>
      <c r="H78" s="50">
        <f>F78*G78</f>
        <v>0</v>
      </c>
      <c r="I78" s="312"/>
      <c r="J78" s="45"/>
      <c r="K78" s="30"/>
      <c r="L78" s="41"/>
      <c r="M78" s="41"/>
      <c r="N78" s="44"/>
      <c r="O78" s="44"/>
      <c r="P78" s="33"/>
      <c r="Q78" s="33"/>
      <c r="R78" s="33"/>
      <c r="S78" s="33"/>
    </row>
    <row r="79" spans="1:19" ht="12.75" hidden="1" customHeight="1" x14ac:dyDescent="0.25">
      <c r="A79" s="41"/>
      <c r="B79" s="41"/>
      <c r="C79" s="313" t="s">
        <v>100</v>
      </c>
      <c r="D79" s="288"/>
      <c r="E79" s="288"/>
      <c r="F79" s="288"/>
      <c r="G79" s="288"/>
      <c r="H79" s="288"/>
      <c r="I79" s="314"/>
      <c r="J79" s="288"/>
      <c r="K79" s="30"/>
      <c r="L79" s="41"/>
      <c r="M79" s="41"/>
      <c r="N79" s="44"/>
      <c r="O79" s="44"/>
      <c r="P79" s="33"/>
      <c r="Q79" s="33"/>
      <c r="R79" s="33"/>
      <c r="S79" s="33"/>
    </row>
    <row r="80" spans="1:19" ht="12.75" hidden="1" customHeight="1" x14ac:dyDescent="0.25">
      <c r="A80" s="41"/>
      <c r="B80" s="41"/>
      <c r="C80" s="311"/>
      <c r="D80" s="49" t="s">
        <v>108</v>
      </c>
      <c r="E80" s="46" t="s">
        <v>113</v>
      </c>
      <c r="F80" s="50" t="s">
        <v>98</v>
      </c>
      <c r="G80" s="50" t="s">
        <v>92</v>
      </c>
      <c r="H80" s="50" t="s">
        <v>93</v>
      </c>
      <c r="I80" s="312"/>
      <c r="J80" s="47"/>
      <c r="K80" s="266"/>
      <c r="L80" s="41"/>
      <c r="M80" s="41"/>
      <c r="N80" s="44"/>
      <c r="O80" s="44"/>
      <c r="P80" s="33"/>
      <c r="Q80" s="33"/>
      <c r="R80" s="33"/>
      <c r="S80" s="33"/>
    </row>
    <row r="81" spans="1:19" ht="12.75" hidden="1" customHeight="1" x14ac:dyDescent="0.25">
      <c r="A81" s="44"/>
      <c r="B81" s="44"/>
      <c r="C81" s="311" t="s">
        <v>571</v>
      </c>
      <c r="D81" s="50">
        <f>D63</f>
        <v>0</v>
      </c>
      <c r="E81" s="48">
        <f>50-D89</f>
        <v>50</v>
      </c>
      <c r="F81" s="50">
        <f>D81/E81</f>
        <v>0</v>
      </c>
      <c r="G81" s="50">
        <f>IF(H37=M36,F68/100*(J27/N60),0)</f>
        <v>0</v>
      </c>
      <c r="H81" s="50">
        <f>F81*G81</f>
        <v>0</v>
      </c>
      <c r="I81" s="312"/>
      <c r="J81" s="45"/>
      <c r="K81" s="267"/>
      <c r="L81" s="41"/>
      <c r="M81" s="41"/>
      <c r="N81" s="44"/>
      <c r="O81" s="44"/>
      <c r="P81" s="33"/>
      <c r="Q81" s="33"/>
      <c r="R81" s="33"/>
      <c r="S81" s="33"/>
    </row>
    <row r="82" spans="1:19" ht="12.75" hidden="1" customHeight="1" x14ac:dyDescent="0.25">
      <c r="A82" s="44"/>
      <c r="B82" s="44"/>
      <c r="C82" s="311" t="s">
        <v>571</v>
      </c>
      <c r="D82" s="50">
        <f>D64</f>
        <v>0</v>
      </c>
      <c r="E82" s="48">
        <v>100</v>
      </c>
      <c r="F82" s="50">
        <f>D82/E82</f>
        <v>0</v>
      </c>
      <c r="G82" s="50">
        <f>IF(H38=M36,F68/200*(J27/N60),0)</f>
        <v>0</v>
      </c>
      <c r="H82" s="50">
        <f>F82*G82</f>
        <v>0</v>
      </c>
      <c r="I82" s="312"/>
      <c r="J82" s="45"/>
      <c r="K82" s="30"/>
      <c r="L82" s="44"/>
      <c r="M82" s="44"/>
      <c r="N82" s="44"/>
      <c r="O82" s="44"/>
      <c r="P82" s="33"/>
      <c r="Q82" s="33"/>
      <c r="R82" s="33"/>
      <c r="S82" s="33"/>
    </row>
    <row r="83" spans="1:19" ht="12.75" hidden="1" customHeight="1" x14ac:dyDescent="0.25">
      <c r="A83" s="44"/>
      <c r="B83" s="44"/>
      <c r="C83" s="390" t="s">
        <v>132</v>
      </c>
      <c r="D83" s="391" t="e">
        <f>IF(((H77+H81)/2)&gt;D86/100*G43,D86/100,((H77+H81)/2)/G43)</f>
        <v>#VALUE!</v>
      </c>
      <c r="E83" s="45"/>
      <c r="F83" s="45"/>
      <c r="G83" s="45"/>
      <c r="H83" s="45"/>
      <c r="I83" s="312"/>
      <c r="J83" s="45"/>
      <c r="K83" s="30"/>
      <c r="L83" s="44"/>
      <c r="M83" s="44"/>
      <c r="N83" s="44"/>
      <c r="O83" s="44"/>
      <c r="P83" s="33"/>
      <c r="Q83" s="33"/>
      <c r="R83" s="33"/>
      <c r="S83" s="33"/>
    </row>
    <row r="84" spans="1:19" ht="12.75" hidden="1" customHeight="1" x14ac:dyDescent="0.25">
      <c r="A84" s="44"/>
      <c r="B84" s="44"/>
      <c r="C84" s="390" t="s">
        <v>133</v>
      </c>
      <c r="D84" s="392" t="e">
        <f>IF(OR(L36=0,L39=0),IF(((H78+H82)/2)&gt;(D87/2),D87/200,((H78+H82)/2)/G43),IF(((H78+H82)/2)&gt;D87/100*G43,D87/100,((H78+H82)/2)/G43))</f>
        <v>#VALUE!</v>
      </c>
      <c r="E84" s="45"/>
      <c r="F84" s="45"/>
      <c r="G84" s="45"/>
      <c r="H84" s="52" t="s">
        <v>130</v>
      </c>
      <c r="I84" s="315"/>
      <c r="J84" s="45"/>
      <c r="K84" s="30"/>
      <c r="L84" s="44"/>
      <c r="M84" s="44"/>
      <c r="N84" s="44"/>
      <c r="O84" s="44"/>
      <c r="P84" s="33"/>
      <c r="Q84" s="33"/>
      <c r="R84" s="33"/>
      <c r="S84" s="33"/>
    </row>
    <row r="85" spans="1:19" ht="12.75" hidden="1" customHeight="1" x14ac:dyDescent="0.25">
      <c r="A85" s="44"/>
      <c r="B85" s="44"/>
      <c r="C85" s="386" t="s">
        <v>276</v>
      </c>
      <c r="D85" s="387" t="e">
        <f>SUM(D83:D84)</f>
        <v>#VALUE!</v>
      </c>
      <c r="E85" s="45"/>
      <c r="F85" s="45" t="s">
        <v>110</v>
      </c>
      <c r="G85" s="45"/>
      <c r="H85" s="393" t="e">
        <f>G43*D85</f>
        <v>#VALUE!</v>
      </c>
      <c r="I85" s="315"/>
      <c r="J85" s="45"/>
      <c r="K85" s="30"/>
      <c r="L85" s="44"/>
      <c r="M85" s="44"/>
      <c r="N85" s="44"/>
      <c r="O85" s="44"/>
      <c r="P85" s="33"/>
      <c r="Q85" s="33"/>
      <c r="R85" s="33"/>
      <c r="S85" s="33"/>
    </row>
    <row r="86" spans="1:19" ht="12.75" hidden="1" customHeight="1" x14ac:dyDescent="0.25">
      <c r="A86" s="44"/>
      <c r="B86" s="44"/>
      <c r="C86" s="388" t="s">
        <v>96</v>
      </c>
      <c r="D86" s="389">
        <v>35</v>
      </c>
      <c r="E86" s="53"/>
      <c r="F86" s="45"/>
      <c r="G86" s="45"/>
      <c r="H86" s="45"/>
      <c r="I86" s="312"/>
      <c r="J86" s="45"/>
      <c r="K86" s="30"/>
      <c r="L86" s="44"/>
      <c r="M86" s="44"/>
      <c r="N86" s="44"/>
      <c r="O86" s="44"/>
      <c r="P86" s="33"/>
      <c r="Q86" s="33"/>
      <c r="R86" s="33"/>
      <c r="S86" s="33"/>
    </row>
    <row r="87" spans="1:19" ht="12.75" hidden="1" customHeight="1" x14ac:dyDescent="0.25">
      <c r="A87" s="44"/>
      <c r="B87" s="44"/>
      <c r="C87" s="388" t="s">
        <v>97</v>
      </c>
      <c r="D87" s="389">
        <v>17.5</v>
      </c>
      <c r="E87" s="53"/>
      <c r="F87" s="45"/>
      <c r="G87" s="45"/>
      <c r="H87" s="45"/>
      <c r="I87" s="312"/>
      <c r="J87" s="45"/>
      <c r="K87" s="30"/>
      <c r="L87" s="44"/>
      <c r="M87" s="44"/>
      <c r="N87" s="44"/>
      <c r="O87" s="44"/>
      <c r="P87" s="33"/>
      <c r="Q87" s="33"/>
      <c r="R87" s="33"/>
      <c r="S87" s="33"/>
    </row>
    <row r="88" spans="1:19" ht="12.75" hidden="1" customHeight="1" thickBot="1" x14ac:dyDescent="0.3">
      <c r="A88" s="44"/>
      <c r="B88" s="44"/>
      <c r="C88" s="321"/>
      <c r="D88" s="322"/>
      <c r="E88" s="322"/>
      <c r="F88" s="322"/>
      <c r="G88" s="322"/>
      <c r="H88" s="322"/>
      <c r="I88" s="323"/>
      <c r="J88" s="44"/>
      <c r="K88" s="30"/>
      <c r="L88" s="44"/>
      <c r="M88" s="44"/>
      <c r="N88" s="44"/>
      <c r="O88" s="44"/>
      <c r="P88" s="33"/>
      <c r="Q88" s="33"/>
      <c r="R88" s="33"/>
      <c r="S88" s="33"/>
    </row>
    <row r="89" spans="1:19" ht="12.75" hidden="1" customHeight="1" thickBot="1" x14ac:dyDescent="0.3">
      <c r="A89" s="44"/>
      <c r="B89" s="44"/>
      <c r="C89" s="44"/>
      <c r="D89" s="44"/>
      <c r="E89" s="44"/>
      <c r="F89" s="44"/>
      <c r="G89" s="44"/>
      <c r="H89" s="44"/>
      <c r="I89" s="44"/>
      <c r="J89" s="44"/>
      <c r="K89" s="21"/>
      <c r="L89" s="44"/>
      <c r="M89" s="44"/>
      <c r="N89" s="44"/>
      <c r="O89" s="44"/>
      <c r="P89" s="33"/>
      <c r="Q89" s="33"/>
      <c r="R89" s="33"/>
      <c r="S89" s="33"/>
    </row>
    <row r="90" spans="1:19" ht="12.75" hidden="1" customHeight="1" x14ac:dyDescent="0.25">
      <c r="A90" s="44"/>
      <c r="B90" s="44"/>
      <c r="C90" s="379" t="s">
        <v>99</v>
      </c>
      <c r="D90" s="309"/>
      <c r="E90" s="309"/>
      <c r="F90" s="309"/>
      <c r="G90" s="309"/>
      <c r="H90" s="309"/>
      <c r="I90" s="380"/>
      <c r="J90" s="44"/>
      <c r="K90" s="21"/>
      <c r="L90" s="44"/>
      <c r="M90" s="44"/>
      <c r="N90" s="44"/>
      <c r="O90" s="44"/>
      <c r="P90" s="33"/>
      <c r="Q90" s="33"/>
      <c r="R90" s="33"/>
      <c r="S90" s="33"/>
    </row>
    <row r="91" spans="1:19" ht="12.75" hidden="1" customHeight="1" x14ac:dyDescent="0.25">
      <c r="A91" s="44"/>
      <c r="B91" s="44"/>
      <c r="C91" s="311"/>
      <c r="D91" s="49" t="s">
        <v>108</v>
      </c>
      <c r="E91" s="46" t="s">
        <v>113</v>
      </c>
      <c r="F91" s="50" t="s">
        <v>98</v>
      </c>
      <c r="G91" s="50" t="s">
        <v>92</v>
      </c>
      <c r="H91" s="50" t="s">
        <v>93</v>
      </c>
      <c r="I91" s="312"/>
      <c r="J91" s="44"/>
      <c r="K91" s="21"/>
      <c r="L91" s="44"/>
      <c r="M91" s="44"/>
      <c r="N91" s="44"/>
      <c r="O91" s="44"/>
      <c r="P91" s="33"/>
      <c r="Q91" s="33"/>
      <c r="R91" s="33"/>
      <c r="S91" s="33"/>
    </row>
    <row r="92" spans="1:19" ht="12.75" hidden="1" customHeight="1" x14ac:dyDescent="0.25">
      <c r="A92" s="44"/>
      <c r="B92" s="44"/>
      <c r="C92" s="311" t="s">
        <v>571</v>
      </c>
      <c r="D92" s="50">
        <f>D59</f>
        <v>0</v>
      </c>
      <c r="E92" s="48">
        <f>50-D104</f>
        <v>50</v>
      </c>
      <c r="F92" s="50">
        <f>D92/E92</f>
        <v>0</v>
      </c>
      <c r="G92" s="50">
        <f>IF(H34=M36,F68/100*('Stream Parts I-II'!Y4/N60),0)</f>
        <v>0</v>
      </c>
      <c r="H92" s="50">
        <f>F92*G92</f>
        <v>0</v>
      </c>
      <c r="I92" s="312"/>
      <c r="J92" s="44"/>
      <c r="K92" s="21"/>
      <c r="L92" s="44"/>
      <c r="M92" s="44"/>
      <c r="N92" s="44"/>
      <c r="O92" s="44"/>
      <c r="P92" s="33"/>
      <c r="Q92" s="33"/>
      <c r="R92" s="33"/>
      <c r="S92" s="33"/>
    </row>
    <row r="93" spans="1:19" ht="12.75" hidden="1" customHeight="1" x14ac:dyDescent="0.25">
      <c r="A93" s="40"/>
      <c r="B93" s="40"/>
      <c r="C93" s="311" t="s">
        <v>571</v>
      </c>
      <c r="D93" s="50">
        <f>D60</f>
        <v>0</v>
      </c>
      <c r="E93" s="48">
        <v>100</v>
      </c>
      <c r="F93" s="50">
        <f>D93/E93</f>
        <v>0</v>
      </c>
      <c r="G93" s="50">
        <f>IF(H35=M36,F68/200*('Stream Parts I-II'!Y4/N60),0)</f>
        <v>0</v>
      </c>
      <c r="H93" s="50">
        <f>F93*G93</f>
        <v>0</v>
      </c>
      <c r="I93" s="312"/>
      <c r="J93" s="21"/>
      <c r="K93" s="21"/>
      <c r="L93" s="44"/>
      <c r="M93" s="44"/>
      <c r="N93" s="44"/>
      <c r="O93" s="44"/>
      <c r="P93" s="33"/>
      <c r="Q93" s="33"/>
      <c r="R93" s="33"/>
      <c r="S93" s="33"/>
    </row>
    <row r="94" spans="1:19" ht="12.75" hidden="1" customHeight="1" x14ac:dyDescent="0.25">
      <c r="A94" s="33"/>
      <c r="B94" s="33"/>
      <c r="C94" s="313" t="s">
        <v>100</v>
      </c>
      <c r="D94" s="381"/>
      <c r="E94" s="381"/>
      <c r="F94" s="381"/>
      <c r="G94" s="381"/>
      <c r="H94" s="381"/>
      <c r="I94" s="314"/>
      <c r="J94" s="40"/>
      <c r="K94" s="21"/>
      <c r="L94" s="40"/>
      <c r="M94" s="33"/>
      <c r="N94" s="33"/>
      <c r="O94" s="33"/>
      <c r="P94" s="33"/>
      <c r="Q94" s="33"/>
      <c r="R94" s="33"/>
      <c r="S94" s="33"/>
    </row>
    <row r="95" spans="1:19" ht="12.75" hidden="1" customHeight="1" x14ac:dyDescent="0.25">
      <c r="A95" s="33"/>
      <c r="B95" s="33"/>
      <c r="C95" s="311"/>
      <c r="D95" s="49" t="s">
        <v>108</v>
      </c>
      <c r="E95" s="46" t="s">
        <v>113</v>
      </c>
      <c r="F95" s="50" t="s">
        <v>98</v>
      </c>
      <c r="G95" s="50" t="s">
        <v>92</v>
      </c>
      <c r="H95" s="50" t="s">
        <v>93</v>
      </c>
      <c r="I95" s="312"/>
      <c r="J95" s="33"/>
      <c r="L95" s="33"/>
      <c r="M95" s="33"/>
      <c r="N95" s="33"/>
      <c r="O95" s="33"/>
      <c r="P95" s="33"/>
      <c r="Q95" s="33"/>
      <c r="R95" s="33"/>
      <c r="S95" s="33"/>
    </row>
    <row r="96" spans="1:19" ht="12.75" hidden="1" customHeight="1" x14ac:dyDescent="0.25">
      <c r="A96" s="33"/>
      <c r="B96" s="33"/>
      <c r="C96" s="311" t="s">
        <v>85</v>
      </c>
      <c r="D96" s="50">
        <f>D63</f>
        <v>0</v>
      </c>
      <c r="E96" s="48">
        <f>50-D104</f>
        <v>50</v>
      </c>
      <c r="F96" s="50">
        <f>D96/E96</f>
        <v>0</v>
      </c>
      <c r="G96" s="50">
        <f>IF(H37=M36,F68/100*('Stream Parts I-II'!Y4/N60),0)</f>
        <v>0</v>
      </c>
      <c r="H96" s="50">
        <f>F96*G96</f>
        <v>0</v>
      </c>
      <c r="I96" s="312"/>
      <c r="J96" s="33"/>
      <c r="L96" s="33"/>
      <c r="M96" s="33"/>
      <c r="N96" s="33"/>
      <c r="O96" s="33"/>
      <c r="P96" s="33"/>
      <c r="Q96" s="33"/>
      <c r="R96" s="33"/>
      <c r="S96" s="33"/>
    </row>
    <row r="97" spans="1:19" ht="12.75" hidden="1" customHeight="1" x14ac:dyDescent="0.25">
      <c r="A97" s="33"/>
      <c r="B97" s="33"/>
      <c r="C97" s="311" t="s">
        <v>85</v>
      </c>
      <c r="D97" s="50">
        <f>D64</f>
        <v>0</v>
      </c>
      <c r="E97" s="48">
        <v>100</v>
      </c>
      <c r="F97" s="50">
        <f>D97/E97</f>
        <v>0</v>
      </c>
      <c r="G97" s="50">
        <f>IF(H38=M36,F68/200*('Stream Parts I-II'!Y4/N60),0)</f>
        <v>0</v>
      </c>
      <c r="H97" s="50">
        <f>F97*G97</f>
        <v>0</v>
      </c>
      <c r="I97" s="312"/>
      <c r="J97" s="33"/>
      <c r="L97" s="33"/>
      <c r="M97" s="33"/>
      <c r="N97" s="33"/>
      <c r="O97" s="33"/>
      <c r="P97" s="33"/>
      <c r="Q97" s="33"/>
      <c r="R97" s="33"/>
      <c r="S97" s="33"/>
    </row>
    <row r="98" spans="1:19" ht="12.75" hidden="1" customHeight="1" x14ac:dyDescent="0.25">
      <c r="A98" s="33"/>
      <c r="B98" s="33"/>
      <c r="C98" s="390" t="s">
        <v>132</v>
      </c>
      <c r="D98" s="391" t="e">
        <f>IF(((H92+H96)/2)&gt;D101/100*G59,D101/100,((H92+H96)/2)/G59)</f>
        <v>#DIV/0!</v>
      </c>
      <c r="E98" s="45"/>
      <c r="F98" s="45"/>
      <c r="G98" s="45"/>
      <c r="H98" s="45"/>
      <c r="I98" s="312"/>
      <c r="J98" s="33"/>
      <c r="L98" s="33"/>
      <c r="M98" s="33"/>
      <c r="N98" s="33"/>
      <c r="O98" s="33"/>
      <c r="P98" s="33"/>
      <c r="Q98" s="33"/>
      <c r="R98" s="33"/>
      <c r="S98" s="33"/>
    </row>
    <row r="99" spans="1:19" ht="12.75" hidden="1" customHeight="1" x14ac:dyDescent="0.25">
      <c r="A99" s="33"/>
      <c r="B99" s="33"/>
      <c r="C99" s="390" t="s">
        <v>133</v>
      </c>
      <c r="D99" s="392" t="e">
        <f>IF(OR(L51=0,L55=0),IF(((H93+H97)/2)&gt;(D102/2),D102/200,((H93+H97)/2)/G59),IF(((H93+H97)/2)&gt;D102/100*G59,D102/100,((H93+H97)/2)/G59))</f>
        <v>#DIV/0!</v>
      </c>
      <c r="E99" s="45"/>
      <c r="F99" s="45"/>
      <c r="G99" s="45"/>
      <c r="H99" s="52" t="s">
        <v>130</v>
      </c>
      <c r="I99" s="315"/>
      <c r="J99" s="33"/>
      <c r="L99" s="33"/>
      <c r="M99" s="33"/>
      <c r="N99" s="33"/>
      <c r="O99" s="33"/>
      <c r="P99" s="33"/>
      <c r="Q99" s="33"/>
      <c r="R99" s="33"/>
      <c r="S99" s="33"/>
    </row>
    <row r="100" spans="1:19" ht="12.75" hidden="1" customHeight="1" x14ac:dyDescent="0.25">
      <c r="A100" s="33"/>
      <c r="B100" s="33"/>
      <c r="C100" s="386" t="s">
        <v>276</v>
      </c>
      <c r="D100" s="387" t="e">
        <f>SUM(D98:D99)</f>
        <v>#DIV/0!</v>
      </c>
      <c r="E100" s="45"/>
      <c r="F100" s="45" t="s">
        <v>110</v>
      </c>
      <c r="G100" s="45"/>
      <c r="H100" s="393" t="e">
        <f>G59*D100</f>
        <v>#DIV/0!</v>
      </c>
      <c r="I100" s="315"/>
      <c r="J100" s="33"/>
      <c r="L100" s="33"/>
      <c r="M100" s="33"/>
      <c r="N100" s="33"/>
      <c r="O100" s="33"/>
      <c r="P100" s="33"/>
      <c r="Q100" s="33"/>
      <c r="R100" s="33"/>
      <c r="S100" s="33"/>
    </row>
    <row r="101" spans="1:19" ht="12.75" hidden="1" customHeight="1" x14ac:dyDescent="0.25">
      <c r="A101" s="33"/>
      <c r="B101" s="33"/>
      <c r="C101" s="388" t="s">
        <v>96</v>
      </c>
      <c r="D101" s="389">
        <v>35</v>
      </c>
      <c r="E101" s="53"/>
      <c r="F101" s="45"/>
      <c r="G101" s="45"/>
      <c r="H101" s="45"/>
      <c r="I101" s="312"/>
      <c r="J101" s="33"/>
      <c r="L101" s="33"/>
      <c r="M101" s="33"/>
      <c r="N101" s="33"/>
      <c r="O101" s="33"/>
      <c r="P101" s="33"/>
      <c r="Q101" s="33"/>
      <c r="R101" s="33"/>
      <c r="S101" s="33"/>
    </row>
    <row r="102" spans="1:19" ht="12.75" hidden="1" customHeight="1" x14ac:dyDescent="0.25">
      <c r="A102" s="33"/>
      <c r="B102" s="33"/>
      <c r="C102" s="388" t="s">
        <v>97</v>
      </c>
      <c r="D102" s="389">
        <v>17.5</v>
      </c>
      <c r="E102" s="53"/>
      <c r="F102" s="45"/>
      <c r="G102" s="45"/>
      <c r="H102" s="45"/>
      <c r="I102" s="312"/>
      <c r="J102" s="33"/>
      <c r="L102" s="33"/>
      <c r="M102" s="33"/>
      <c r="N102" s="33"/>
      <c r="O102" s="33"/>
      <c r="P102" s="33"/>
      <c r="Q102" s="33"/>
      <c r="R102" s="33"/>
      <c r="S102" s="33"/>
    </row>
    <row r="103" spans="1:19" ht="12.75" hidden="1" customHeight="1" thickBot="1" x14ac:dyDescent="0.3">
      <c r="A103" s="33"/>
      <c r="B103" s="33"/>
      <c r="C103" s="321"/>
      <c r="D103" s="322"/>
      <c r="E103" s="322"/>
      <c r="F103" s="322"/>
      <c r="G103" s="322"/>
      <c r="H103" s="322"/>
      <c r="I103" s="323"/>
      <c r="J103" s="33"/>
      <c r="L103" s="33"/>
      <c r="M103" s="33"/>
      <c r="N103" s="33"/>
      <c r="O103" s="33"/>
      <c r="P103" s="33"/>
      <c r="Q103" s="33"/>
      <c r="R103" s="33"/>
      <c r="S103" s="33"/>
    </row>
    <row r="104" spans="1:19" ht="12.75" hidden="1" customHeight="1" x14ac:dyDescent="0.25">
      <c r="A104" s="33"/>
      <c r="B104" s="33"/>
      <c r="C104" s="33"/>
      <c r="D104" s="33"/>
      <c r="E104" s="33"/>
      <c r="F104" s="33"/>
      <c r="G104" s="33"/>
      <c r="H104" s="33"/>
      <c r="I104" s="33"/>
      <c r="J104" s="33"/>
      <c r="L104" s="33"/>
      <c r="M104" s="33"/>
      <c r="N104" s="33"/>
      <c r="O104" s="33"/>
      <c r="P104" s="33"/>
      <c r="Q104" s="33"/>
      <c r="R104" s="33"/>
      <c r="S104" s="33"/>
    </row>
    <row r="105" spans="1:19" ht="12.75" hidden="1" customHeight="1" x14ac:dyDescent="0.25">
      <c r="A105" s="33"/>
      <c r="B105" s="33"/>
      <c r="C105" s="33"/>
      <c r="D105" s="33"/>
      <c r="E105" s="33"/>
      <c r="F105" s="33"/>
      <c r="G105" s="33"/>
      <c r="H105" s="33"/>
      <c r="I105" s="33"/>
      <c r="J105" s="33"/>
      <c r="L105" s="33"/>
      <c r="M105" s="33"/>
      <c r="N105" s="33"/>
      <c r="O105" s="33"/>
      <c r="P105" s="33"/>
      <c r="Q105" s="33"/>
      <c r="R105" s="33"/>
      <c r="S105" s="33"/>
    </row>
    <row r="106" spans="1:19" ht="12.75" hidden="1" customHeight="1" x14ac:dyDescent="0.25">
      <c r="A106" s="33"/>
      <c r="B106" s="33"/>
      <c r="C106" s="33"/>
      <c r="D106" s="33"/>
      <c r="E106" s="33"/>
      <c r="F106" s="33"/>
      <c r="G106" s="33"/>
      <c r="H106" s="33"/>
      <c r="I106" s="33"/>
      <c r="J106" s="33"/>
      <c r="L106" s="33"/>
      <c r="M106" s="33"/>
      <c r="N106" s="33"/>
      <c r="O106" s="33"/>
      <c r="P106" s="33"/>
      <c r="Q106" s="33"/>
      <c r="R106" s="33"/>
      <c r="S106" s="33"/>
    </row>
    <row r="107" spans="1:19" ht="12.75" hidden="1" customHeight="1" x14ac:dyDescent="0.25">
      <c r="A107" s="33"/>
      <c r="B107" s="33"/>
      <c r="C107" s="33"/>
      <c r="D107" s="33"/>
      <c r="E107" s="33"/>
      <c r="F107" s="33"/>
      <c r="G107" s="33"/>
      <c r="H107" s="33"/>
      <c r="I107" s="33"/>
      <c r="J107" s="33"/>
      <c r="L107" s="33"/>
      <c r="M107" s="33"/>
      <c r="N107" s="33"/>
      <c r="O107" s="33"/>
      <c r="P107" s="33"/>
      <c r="Q107" s="33"/>
      <c r="R107" s="33"/>
      <c r="S107" s="33"/>
    </row>
    <row r="108" spans="1:19" ht="12.75" hidden="1" customHeight="1" x14ac:dyDescent="0.25">
      <c r="A108" s="33"/>
      <c r="B108" s="33"/>
      <c r="C108" s="33"/>
      <c r="D108" s="33"/>
      <c r="E108" s="33"/>
      <c r="F108" s="33"/>
      <c r="G108" s="33"/>
      <c r="H108" s="33"/>
      <c r="I108" s="33"/>
      <c r="J108" s="33"/>
      <c r="L108" s="33"/>
      <c r="M108" s="33"/>
      <c r="N108" s="33"/>
      <c r="O108" s="33"/>
      <c r="P108" s="33"/>
      <c r="Q108" s="33"/>
      <c r="R108" s="33"/>
      <c r="S108" s="33"/>
    </row>
    <row r="109" spans="1:19" ht="12.75" hidden="1" customHeight="1" x14ac:dyDescent="0.25">
      <c r="A109" s="33"/>
      <c r="B109" s="33"/>
      <c r="C109" s="33"/>
      <c r="D109" s="33"/>
      <c r="E109" s="33"/>
      <c r="F109" s="33"/>
      <c r="G109" s="33"/>
      <c r="H109" s="33"/>
      <c r="I109" s="33"/>
      <c r="J109" s="33"/>
      <c r="L109" s="33"/>
      <c r="M109" s="33"/>
      <c r="N109" s="33"/>
      <c r="O109" s="33"/>
      <c r="P109" s="33"/>
      <c r="Q109" s="33"/>
      <c r="R109" s="33"/>
      <c r="S109" s="33"/>
    </row>
    <row r="110" spans="1:19" ht="12.75" hidden="1" customHeight="1" x14ac:dyDescent="0.25">
      <c r="A110" s="33"/>
      <c r="B110" s="33"/>
      <c r="C110" s="33"/>
      <c r="D110" s="33"/>
      <c r="E110" s="33"/>
      <c r="F110" s="33"/>
      <c r="G110" s="33"/>
      <c r="H110" s="33"/>
      <c r="I110" s="33"/>
      <c r="J110" s="33"/>
      <c r="L110" s="33"/>
      <c r="M110" s="33"/>
      <c r="N110" s="33"/>
      <c r="O110" s="33"/>
      <c r="P110" s="33"/>
      <c r="Q110" s="33"/>
      <c r="R110" s="33"/>
      <c r="S110" s="33"/>
    </row>
    <row r="111" spans="1:19" ht="12.75" hidden="1" customHeight="1" x14ac:dyDescent="0.25">
      <c r="A111" s="33"/>
      <c r="B111" s="33"/>
      <c r="C111" s="33"/>
      <c r="D111" s="33"/>
      <c r="E111" s="33"/>
      <c r="F111" s="33"/>
      <c r="G111" s="33"/>
      <c r="H111" s="33"/>
      <c r="I111" s="33"/>
      <c r="J111" s="33"/>
      <c r="L111" s="33"/>
      <c r="M111" s="33"/>
      <c r="N111" s="33"/>
      <c r="O111" s="33"/>
      <c r="P111" s="33"/>
      <c r="Q111" s="33"/>
      <c r="R111" s="33"/>
      <c r="S111" s="33"/>
    </row>
    <row r="112" spans="1:19" ht="12.75" hidden="1" customHeight="1" x14ac:dyDescent="0.25">
      <c r="A112" s="33"/>
      <c r="B112" s="33"/>
      <c r="C112" s="33"/>
      <c r="D112" s="33"/>
      <c r="E112" s="33"/>
      <c r="F112" s="33"/>
      <c r="G112" s="33"/>
      <c r="H112" s="33"/>
      <c r="I112" s="33"/>
      <c r="J112" s="33"/>
      <c r="L112" s="33"/>
      <c r="M112" s="33"/>
      <c r="N112" s="33"/>
      <c r="O112" s="33"/>
      <c r="P112" s="33"/>
      <c r="Q112" s="33"/>
      <c r="R112" s="33"/>
      <c r="S112" s="33"/>
    </row>
    <row r="113" spans="1:19" ht="12.75" hidden="1" customHeight="1" x14ac:dyDescent="0.25">
      <c r="A113" s="33"/>
      <c r="B113" s="33"/>
      <c r="C113" s="33"/>
      <c r="D113" s="33"/>
      <c r="E113" s="33"/>
      <c r="F113" s="33"/>
      <c r="G113" s="33"/>
      <c r="H113" s="33"/>
      <c r="I113" s="33"/>
      <c r="J113" s="33"/>
      <c r="L113" s="33"/>
      <c r="M113" s="33"/>
      <c r="N113" s="33"/>
      <c r="O113" s="33"/>
      <c r="P113" s="33"/>
      <c r="Q113" s="33"/>
      <c r="R113" s="33"/>
      <c r="S113" s="33"/>
    </row>
    <row r="114" spans="1:19" ht="12.75" hidden="1" customHeight="1" x14ac:dyDescent="0.25">
      <c r="A114" s="33"/>
      <c r="B114" s="33"/>
      <c r="C114" s="33"/>
      <c r="D114" s="33"/>
      <c r="E114" s="33"/>
      <c r="F114" s="33"/>
      <c r="G114" s="33"/>
      <c r="H114" s="33"/>
      <c r="I114" s="33"/>
      <c r="J114" s="33"/>
      <c r="L114" s="33"/>
      <c r="M114" s="33"/>
      <c r="N114" s="33"/>
      <c r="O114" s="33"/>
      <c r="P114" s="33"/>
      <c r="Q114" s="33"/>
      <c r="R114" s="33"/>
      <c r="S114" s="33"/>
    </row>
    <row r="115" spans="1:19" ht="12.75" hidden="1" customHeight="1" x14ac:dyDescent="0.25">
      <c r="A115" s="33"/>
      <c r="B115" s="33"/>
      <c r="C115" s="33"/>
      <c r="D115" s="33"/>
      <c r="E115" s="33"/>
      <c r="F115" s="33"/>
      <c r="G115" s="33"/>
      <c r="H115" s="33"/>
      <c r="I115" s="33"/>
      <c r="J115" s="33"/>
      <c r="L115" s="33"/>
      <c r="M115" s="33"/>
      <c r="N115" s="33"/>
      <c r="O115" s="33"/>
      <c r="P115" s="33"/>
      <c r="Q115" s="33"/>
      <c r="R115" s="33"/>
      <c r="S115" s="33"/>
    </row>
    <row r="116" spans="1:19" ht="12.75" hidden="1" customHeight="1" x14ac:dyDescent="0.25">
      <c r="A116" s="33"/>
      <c r="B116" s="33"/>
      <c r="C116" s="33"/>
      <c r="D116" s="33"/>
      <c r="E116" s="33"/>
      <c r="F116" s="33"/>
      <c r="G116" s="33"/>
      <c r="H116" s="33"/>
      <c r="I116" s="33"/>
      <c r="J116" s="33"/>
      <c r="L116" s="33"/>
      <c r="M116" s="33"/>
      <c r="N116" s="33"/>
      <c r="O116" s="33"/>
      <c r="P116" s="33"/>
      <c r="Q116" s="33"/>
      <c r="R116" s="33"/>
      <c r="S116" s="33"/>
    </row>
    <row r="117" spans="1:19" ht="12.75" hidden="1" customHeight="1" x14ac:dyDescent="0.25">
      <c r="A117" s="33"/>
      <c r="B117" s="33"/>
      <c r="C117" s="33"/>
      <c r="D117" s="33"/>
      <c r="E117" s="33"/>
      <c r="F117" s="33"/>
      <c r="G117" s="33"/>
      <c r="H117" s="33"/>
      <c r="I117" s="33"/>
      <c r="J117" s="33"/>
      <c r="L117" s="33"/>
      <c r="M117" s="33"/>
      <c r="N117" s="33"/>
      <c r="O117" s="33"/>
      <c r="P117" s="33"/>
      <c r="Q117" s="33"/>
      <c r="R117" s="33"/>
      <c r="S117" s="33"/>
    </row>
    <row r="118" spans="1:19" ht="12.75" hidden="1" customHeight="1" x14ac:dyDescent="0.25">
      <c r="A118" s="33"/>
      <c r="B118" s="33"/>
      <c r="C118" s="33"/>
      <c r="D118" s="33"/>
      <c r="E118" s="33"/>
      <c r="F118" s="33"/>
      <c r="G118" s="33"/>
      <c r="H118" s="33"/>
      <c r="I118" s="33"/>
      <c r="J118" s="33"/>
      <c r="L118" s="33"/>
      <c r="M118" s="33"/>
      <c r="N118" s="33"/>
      <c r="O118" s="33"/>
      <c r="P118" s="33"/>
      <c r="Q118" s="33"/>
      <c r="R118" s="33"/>
      <c r="S118" s="33"/>
    </row>
    <row r="119" spans="1:19" ht="12.75" hidden="1" customHeight="1" x14ac:dyDescent="0.25">
      <c r="A119" s="33"/>
      <c r="B119" s="33"/>
      <c r="C119" s="33"/>
      <c r="D119" s="33"/>
      <c r="E119" s="33"/>
      <c r="F119" s="33"/>
      <c r="G119" s="33"/>
      <c r="H119" s="33"/>
      <c r="I119" s="33"/>
      <c r="J119" s="33"/>
      <c r="L119" s="33"/>
      <c r="M119" s="33"/>
      <c r="N119" s="33"/>
      <c r="O119" s="33"/>
      <c r="P119" s="33"/>
      <c r="Q119" s="33"/>
      <c r="R119" s="33"/>
      <c r="S119" s="33"/>
    </row>
    <row r="120" spans="1:19" ht="12.75" hidden="1" customHeight="1" x14ac:dyDescent="0.25">
      <c r="A120" s="33"/>
      <c r="B120" s="33"/>
      <c r="C120" s="33"/>
      <c r="D120" s="33"/>
      <c r="E120" s="33"/>
      <c r="F120" s="33"/>
      <c r="G120" s="33"/>
      <c r="H120" s="33"/>
      <c r="I120" s="33"/>
      <c r="J120" s="33"/>
      <c r="L120" s="33"/>
      <c r="M120" s="33"/>
      <c r="N120" s="33"/>
      <c r="O120" s="33"/>
      <c r="P120" s="33"/>
      <c r="Q120" s="33"/>
      <c r="R120" s="33"/>
      <c r="S120" s="33"/>
    </row>
    <row r="121" spans="1:19" ht="12.75" hidden="1" customHeight="1" x14ac:dyDescent="0.25">
      <c r="A121" s="33"/>
      <c r="B121" s="33"/>
      <c r="C121" s="33"/>
      <c r="D121" s="33"/>
      <c r="E121" s="33"/>
      <c r="F121" s="33"/>
      <c r="G121" s="33"/>
      <c r="H121" s="33"/>
      <c r="I121" s="33"/>
      <c r="J121" s="33"/>
      <c r="L121" s="33"/>
      <c r="M121" s="33"/>
      <c r="N121" s="33"/>
      <c r="O121" s="33"/>
      <c r="P121" s="33"/>
      <c r="Q121" s="33"/>
      <c r="R121" s="33"/>
      <c r="S121" s="33"/>
    </row>
    <row r="122" spans="1:19" ht="12.75" hidden="1" customHeight="1" x14ac:dyDescent="0.25">
      <c r="A122" s="33"/>
      <c r="B122" s="33"/>
      <c r="C122" s="33"/>
      <c r="D122" s="33"/>
      <c r="E122" s="33"/>
      <c r="F122" s="33"/>
      <c r="G122" s="33"/>
      <c r="H122" s="33"/>
      <c r="I122" s="33"/>
      <c r="J122" s="33"/>
      <c r="L122" s="33"/>
      <c r="M122" s="33"/>
      <c r="N122" s="33"/>
      <c r="O122" s="33"/>
      <c r="P122" s="33"/>
      <c r="Q122" s="33"/>
      <c r="R122" s="33"/>
      <c r="S122" s="33"/>
    </row>
    <row r="123" spans="1:19" ht="12.75" hidden="1" customHeight="1" x14ac:dyDescent="0.25">
      <c r="A123" s="33"/>
      <c r="B123" s="33"/>
      <c r="C123" s="33"/>
      <c r="D123" s="33"/>
      <c r="E123" s="33"/>
      <c r="F123" s="33"/>
      <c r="G123" s="33"/>
      <c r="H123" s="33"/>
      <c r="I123" s="33"/>
      <c r="J123" s="33"/>
      <c r="L123" s="33"/>
      <c r="M123" s="33"/>
      <c r="N123" s="33"/>
      <c r="O123" s="33"/>
      <c r="P123" s="33"/>
      <c r="Q123" s="33"/>
      <c r="R123" s="33"/>
      <c r="S123" s="33"/>
    </row>
    <row r="124" spans="1:19" ht="12.75" hidden="1" customHeight="1" x14ac:dyDescent="0.25">
      <c r="A124" s="33"/>
      <c r="B124" s="33"/>
      <c r="C124" s="33"/>
      <c r="D124" s="33"/>
      <c r="E124" s="33"/>
      <c r="F124" s="33"/>
      <c r="G124" s="33"/>
      <c r="H124" s="33"/>
      <c r="I124" s="33"/>
      <c r="J124" s="33"/>
      <c r="L124" s="33"/>
      <c r="M124" s="33"/>
      <c r="N124" s="33"/>
      <c r="O124" s="33"/>
      <c r="P124" s="33"/>
      <c r="Q124" s="33"/>
      <c r="R124" s="33"/>
      <c r="S124" s="33"/>
    </row>
    <row r="125" spans="1:19" ht="12.75" hidden="1" customHeight="1" x14ac:dyDescent="0.25">
      <c r="A125" s="33"/>
      <c r="B125" s="33"/>
      <c r="C125" s="33"/>
      <c r="D125" s="33"/>
      <c r="E125" s="33"/>
      <c r="F125" s="33"/>
      <c r="G125" s="33"/>
      <c r="H125" s="33"/>
      <c r="I125" s="33"/>
      <c r="J125" s="33"/>
      <c r="L125" s="33"/>
      <c r="M125" s="33"/>
      <c r="N125" s="33"/>
      <c r="O125" s="33"/>
      <c r="P125" s="33"/>
      <c r="Q125" s="33"/>
      <c r="R125" s="33"/>
      <c r="S125" s="33"/>
    </row>
    <row r="126" spans="1:19" ht="12.75" hidden="1" customHeight="1" x14ac:dyDescent="0.25">
      <c r="A126" s="33"/>
      <c r="B126" s="33"/>
      <c r="C126" s="33"/>
      <c r="D126" s="33"/>
      <c r="E126" s="33"/>
      <c r="F126" s="33"/>
      <c r="G126" s="33"/>
      <c r="H126" s="33"/>
      <c r="I126" s="33"/>
      <c r="J126" s="33"/>
      <c r="L126" s="33"/>
      <c r="M126" s="33"/>
      <c r="N126" s="33"/>
      <c r="O126" s="33"/>
      <c r="P126" s="33"/>
      <c r="Q126" s="33"/>
      <c r="R126" s="33"/>
      <c r="S126" s="33"/>
    </row>
    <row r="127" spans="1:19" ht="12.75" hidden="1" customHeight="1" x14ac:dyDescent="0.25">
      <c r="A127" s="33"/>
      <c r="B127" s="33"/>
      <c r="C127" s="33"/>
      <c r="D127" s="33"/>
      <c r="E127" s="33"/>
      <c r="F127" s="33"/>
      <c r="G127" s="33"/>
      <c r="H127" s="33"/>
      <c r="I127" s="33"/>
      <c r="J127" s="33"/>
      <c r="L127" s="33"/>
      <c r="M127" s="33"/>
      <c r="N127" s="33"/>
      <c r="O127" s="33"/>
      <c r="P127" s="33"/>
      <c r="Q127" s="33"/>
      <c r="R127" s="33"/>
      <c r="S127" s="33"/>
    </row>
    <row r="128" spans="1:19" ht="12.75" hidden="1" customHeight="1" x14ac:dyDescent="0.25">
      <c r="A128" s="33"/>
      <c r="B128" s="33"/>
      <c r="C128" s="33"/>
      <c r="D128" s="33"/>
      <c r="E128" s="33"/>
      <c r="F128" s="33"/>
      <c r="G128" s="33"/>
      <c r="H128" s="33"/>
      <c r="I128" s="33"/>
      <c r="J128" s="33"/>
      <c r="L128" s="33"/>
      <c r="M128" s="33"/>
      <c r="N128" s="33"/>
      <c r="O128" s="33"/>
      <c r="P128" s="33"/>
      <c r="Q128" s="33"/>
      <c r="R128" s="33"/>
      <c r="S128" s="33"/>
    </row>
    <row r="129" spans="1:19" ht="12.75" hidden="1" customHeight="1" x14ac:dyDescent="0.25">
      <c r="A129" s="33"/>
      <c r="B129" s="33"/>
      <c r="C129" s="33"/>
      <c r="D129" s="33"/>
      <c r="E129" s="33"/>
      <c r="F129" s="33"/>
      <c r="G129" s="33"/>
      <c r="H129" s="33"/>
      <c r="I129" s="33"/>
      <c r="J129" s="33"/>
      <c r="L129" s="33"/>
      <c r="M129" s="33"/>
      <c r="N129" s="33"/>
      <c r="O129" s="33"/>
      <c r="P129" s="33"/>
      <c r="Q129" s="33"/>
      <c r="R129" s="33"/>
      <c r="S129" s="33"/>
    </row>
    <row r="130" spans="1:19" ht="12.75" hidden="1" customHeight="1" x14ac:dyDescent="0.25">
      <c r="A130" s="33"/>
      <c r="B130" s="33"/>
      <c r="C130" s="33"/>
      <c r="D130" s="33"/>
      <c r="E130" s="33"/>
      <c r="F130" s="33"/>
      <c r="G130" s="33"/>
      <c r="H130" s="33"/>
      <c r="I130" s="33"/>
      <c r="J130" s="33"/>
      <c r="L130" s="33"/>
      <c r="M130" s="33"/>
      <c r="N130" s="33"/>
      <c r="O130" s="33"/>
      <c r="P130" s="33"/>
      <c r="Q130" s="33"/>
      <c r="R130" s="33"/>
      <c r="S130" s="33"/>
    </row>
    <row r="131" spans="1:19" ht="12.75" hidden="1" customHeight="1" x14ac:dyDescent="0.25">
      <c r="A131" s="33"/>
      <c r="B131" s="33"/>
      <c r="C131" s="33"/>
      <c r="D131" s="33"/>
      <c r="E131" s="33"/>
      <c r="F131" s="33"/>
      <c r="G131" s="33"/>
      <c r="H131" s="33"/>
      <c r="I131" s="33"/>
      <c r="J131" s="33"/>
      <c r="L131" s="33"/>
      <c r="M131" s="33"/>
      <c r="N131" s="33"/>
      <c r="O131" s="33"/>
      <c r="P131" s="33"/>
      <c r="Q131" s="33"/>
      <c r="R131" s="33"/>
      <c r="S131" s="33"/>
    </row>
    <row r="132" spans="1:19" ht="12.75" hidden="1" customHeight="1" x14ac:dyDescent="0.25">
      <c r="A132" s="33"/>
      <c r="B132" s="33"/>
      <c r="C132" s="33"/>
      <c r="D132" s="33"/>
      <c r="E132" s="33"/>
      <c r="F132" s="33"/>
      <c r="G132" s="33"/>
      <c r="H132" s="33"/>
      <c r="I132" s="33"/>
      <c r="J132" s="33"/>
      <c r="L132" s="33"/>
      <c r="M132" s="33"/>
      <c r="N132" s="33"/>
      <c r="O132" s="33"/>
      <c r="P132" s="33"/>
      <c r="Q132" s="33"/>
      <c r="R132" s="33"/>
      <c r="S132" s="33"/>
    </row>
    <row r="133" spans="1:19" ht="12.75" hidden="1" customHeight="1" x14ac:dyDescent="0.25">
      <c r="A133" s="33"/>
      <c r="B133" s="33"/>
      <c r="C133" s="33"/>
      <c r="D133" s="33"/>
      <c r="E133" s="33"/>
      <c r="F133" s="33"/>
      <c r="G133" s="33"/>
      <c r="H133" s="33"/>
      <c r="I133" s="33"/>
      <c r="J133" s="33"/>
      <c r="L133" s="33"/>
      <c r="M133" s="33"/>
      <c r="N133" s="33"/>
      <c r="O133" s="33"/>
      <c r="P133" s="33"/>
      <c r="Q133" s="33"/>
      <c r="R133" s="33"/>
      <c r="S133" s="33"/>
    </row>
    <row r="134" spans="1:19" ht="12.75" hidden="1" customHeight="1" x14ac:dyDescent="0.25">
      <c r="A134" s="33"/>
      <c r="B134" s="33"/>
      <c r="C134" s="33"/>
      <c r="D134" s="33"/>
      <c r="E134" s="33"/>
      <c r="F134" s="33"/>
      <c r="G134" s="33"/>
      <c r="H134" s="33"/>
      <c r="I134" s="33"/>
      <c r="J134" s="33"/>
      <c r="L134" s="33"/>
      <c r="M134" s="33"/>
      <c r="N134" s="33"/>
      <c r="O134" s="33"/>
      <c r="P134" s="33"/>
      <c r="Q134" s="33"/>
      <c r="R134" s="33"/>
      <c r="S134" s="33"/>
    </row>
    <row r="135" spans="1:19" ht="12.75" hidden="1" customHeight="1" x14ac:dyDescent="0.25">
      <c r="A135" s="33"/>
      <c r="B135" s="33"/>
      <c r="C135" s="33"/>
      <c r="D135" s="33"/>
      <c r="E135" s="33"/>
      <c r="F135" s="33"/>
      <c r="G135" s="33"/>
      <c r="H135" s="33"/>
      <c r="I135" s="33"/>
      <c r="J135" s="33"/>
      <c r="L135" s="33"/>
      <c r="M135" s="33"/>
      <c r="N135" s="33"/>
      <c r="O135" s="33"/>
      <c r="P135" s="33"/>
      <c r="Q135" s="33"/>
      <c r="R135" s="33"/>
      <c r="S135" s="33"/>
    </row>
    <row r="136" spans="1:19" ht="12.75" hidden="1" customHeight="1" x14ac:dyDescent="0.25">
      <c r="A136" s="33"/>
      <c r="B136" s="33"/>
      <c r="C136" s="33"/>
      <c r="D136" s="33"/>
      <c r="E136" s="33"/>
      <c r="F136" s="33"/>
      <c r="G136" s="33"/>
      <c r="H136" s="33"/>
      <c r="I136" s="33"/>
      <c r="J136" s="33"/>
      <c r="L136" s="33"/>
      <c r="M136" s="33"/>
      <c r="N136" s="33"/>
      <c r="O136" s="33"/>
      <c r="P136" s="33"/>
      <c r="Q136" s="33"/>
      <c r="R136" s="33"/>
      <c r="S136" s="33"/>
    </row>
    <row r="137" spans="1:19" ht="12.75" hidden="1" customHeight="1" x14ac:dyDescent="0.25">
      <c r="A137" s="33"/>
      <c r="B137" s="33"/>
      <c r="C137" s="33"/>
      <c r="D137" s="33"/>
      <c r="E137" s="33"/>
      <c r="F137" s="33"/>
      <c r="G137" s="33"/>
      <c r="H137" s="33"/>
      <c r="I137" s="33"/>
      <c r="J137" s="33"/>
      <c r="L137" s="33"/>
      <c r="M137" s="33"/>
      <c r="N137" s="33"/>
      <c r="O137" s="33"/>
      <c r="P137" s="33"/>
      <c r="Q137" s="33"/>
      <c r="R137" s="33"/>
      <c r="S137" s="33"/>
    </row>
    <row r="138" spans="1:19" ht="12.75" hidden="1" customHeight="1" x14ac:dyDescent="0.25">
      <c r="A138" s="33"/>
      <c r="B138" s="33"/>
      <c r="C138" s="33"/>
      <c r="D138" s="33"/>
      <c r="E138" s="33"/>
      <c r="F138" s="33"/>
      <c r="G138" s="33"/>
      <c r="H138" s="33"/>
      <c r="I138" s="33"/>
      <c r="J138" s="33"/>
      <c r="L138" s="33"/>
      <c r="M138" s="33"/>
      <c r="N138" s="33"/>
      <c r="O138" s="33"/>
      <c r="P138" s="33"/>
      <c r="Q138" s="33"/>
      <c r="R138" s="33"/>
      <c r="S138" s="33"/>
    </row>
    <row r="139" spans="1:19" ht="12.75" hidden="1" customHeight="1" x14ac:dyDescent="0.25">
      <c r="A139" s="33"/>
      <c r="B139" s="33"/>
      <c r="C139" s="33"/>
      <c r="D139" s="33"/>
      <c r="E139" s="33"/>
      <c r="F139" s="33"/>
      <c r="G139" s="33"/>
      <c r="H139" s="33"/>
      <c r="I139" s="33"/>
      <c r="J139" s="33"/>
      <c r="L139" s="33"/>
      <c r="M139" s="33"/>
      <c r="N139" s="33"/>
      <c r="O139" s="33"/>
      <c r="P139" s="33"/>
      <c r="Q139" s="33"/>
      <c r="R139" s="33"/>
      <c r="S139" s="33"/>
    </row>
    <row r="140" spans="1:19" ht="12.75" hidden="1" customHeight="1" x14ac:dyDescent="0.25">
      <c r="A140" s="33"/>
      <c r="B140" s="33"/>
      <c r="C140" s="33"/>
      <c r="D140" s="33"/>
      <c r="E140" s="33"/>
      <c r="F140" s="33"/>
      <c r="G140" s="33"/>
      <c r="H140" s="33"/>
      <c r="I140" s="33"/>
      <c r="J140" s="33"/>
      <c r="L140" s="33"/>
      <c r="M140" s="33"/>
      <c r="N140" s="33"/>
      <c r="O140" s="33"/>
      <c r="P140" s="33"/>
      <c r="Q140" s="33"/>
      <c r="R140" s="33"/>
      <c r="S140" s="33"/>
    </row>
    <row r="141" spans="1:19" ht="12.75" hidden="1" customHeight="1" x14ac:dyDescent="0.25">
      <c r="A141" s="33"/>
      <c r="B141" s="33"/>
      <c r="C141" s="33"/>
      <c r="D141" s="33"/>
      <c r="E141" s="33"/>
      <c r="F141" s="33"/>
      <c r="G141" s="33"/>
      <c r="H141" s="33"/>
      <c r="I141" s="33"/>
      <c r="J141" s="33"/>
      <c r="L141" s="33"/>
      <c r="M141" s="33"/>
      <c r="N141" s="33"/>
      <c r="O141" s="33"/>
      <c r="P141" s="33"/>
      <c r="Q141" s="33"/>
      <c r="R141" s="33"/>
      <c r="S141" s="33"/>
    </row>
    <row r="142" spans="1:19" ht="12.75" hidden="1" customHeight="1" x14ac:dyDescent="0.25">
      <c r="A142" s="33"/>
      <c r="B142" s="33"/>
      <c r="C142" s="33"/>
      <c r="D142" s="33"/>
      <c r="E142" s="33"/>
      <c r="F142" s="33"/>
      <c r="G142" s="33"/>
      <c r="H142" s="33"/>
      <c r="I142" s="33"/>
      <c r="J142" s="33"/>
      <c r="L142" s="33"/>
      <c r="M142" s="33"/>
      <c r="N142" s="33"/>
      <c r="O142" s="33"/>
      <c r="P142" s="33"/>
      <c r="Q142" s="33"/>
      <c r="R142" s="33"/>
      <c r="S142" s="33"/>
    </row>
    <row r="143" spans="1:19" ht="12.75" hidden="1" customHeight="1" x14ac:dyDescent="0.25">
      <c r="A143" s="33"/>
      <c r="B143" s="33"/>
      <c r="C143" s="33"/>
      <c r="D143" s="33"/>
      <c r="E143" s="33"/>
      <c r="F143" s="33"/>
      <c r="G143" s="33"/>
      <c r="H143" s="33"/>
      <c r="I143" s="33"/>
      <c r="J143" s="33"/>
      <c r="L143" s="33"/>
      <c r="M143" s="33"/>
      <c r="N143" s="33"/>
      <c r="O143" s="33"/>
      <c r="P143" s="33"/>
      <c r="Q143" s="33"/>
      <c r="R143" s="33"/>
      <c r="S143" s="33"/>
    </row>
    <row r="144" spans="1:19" ht="12.75" hidden="1" customHeight="1" x14ac:dyDescent="0.25">
      <c r="A144" s="33"/>
      <c r="B144" s="33"/>
      <c r="C144" s="33"/>
      <c r="D144" s="33"/>
      <c r="E144" s="33"/>
      <c r="F144" s="33"/>
      <c r="G144" s="33"/>
      <c r="H144" s="33"/>
      <c r="I144" s="33"/>
      <c r="J144" s="33"/>
      <c r="L144" s="33"/>
      <c r="M144" s="33"/>
      <c r="N144" s="33"/>
      <c r="O144" s="33"/>
      <c r="P144" s="33"/>
      <c r="Q144" s="33"/>
      <c r="R144" s="33"/>
      <c r="S144" s="33"/>
    </row>
    <row r="145" spans="1:19" ht="12.75" hidden="1" customHeight="1" x14ac:dyDescent="0.25">
      <c r="A145" s="33"/>
      <c r="B145" s="33"/>
      <c r="C145" s="33"/>
      <c r="D145" s="33"/>
      <c r="E145" s="33"/>
      <c r="F145" s="33"/>
      <c r="G145" s="33"/>
      <c r="H145" s="33"/>
      <c r="I145" s="33"/>
      <c r="J145" s="33"/>
      <c r="L145" s="33"/>
      <c r="M145" s="33"/>
      <c r="N145" s="33"/>
      <c r="O145" s="33"/>
      <c r="P145" s="33"/>
      <c r="Q145" s="33"/>
      <c r="R145" s="33"/>
      <c r="S145" s="33"/>
    </row>
    <row r="146" spans="1:19" ht="12.75" hidden="1" customHeight="1" x14ac:dyDescent="0.25">
      <c r="A146" s="33"/>
      <c r="B146" s="33"/>
      <c r="C146" s="33"/>
      <c r="D146" s="33"/>
      <c r="E146" s="33"/>
      <c r="F146" s="33"/>
      <c r="G146" s="33"/>
      <c r="H146" s="33"/>
      <c r="I146" s="33"/>
      <c r="J146" s="33"/>
      <c r="L146" s="33"/>
      <c r="M146" s="33"/>
      <c r="N146" s="33"/>
      <c r="O146" s="33"/>
      <c r="P146" s="33"/>
      <c r="Q146" s="33"/>
      <c r="R146" s="33"/>
      <c r="S146" s="33"/>
    </row>
    <row r="147" spans="1:19" ht="12.75" hidden="1" customHeight="1" x14ac:dyDescent="0.25">
      <c r="A147" s="33"/>
      <c r="B147" s="33"/>
      <c r="C147" s="33"/>
      <c r="D147" s="33"/>
      <c r="E147" s="33"/>
      <c r="F147" s="33"/>
      <c r="G147" s="33"/>
      <c r="H147" s="33"/>
      <c r="I147" s="33"/>
      <c r="J147" s="33"/>
      <c r="L147" s="33"/>
      <c r="M147" s="33"/>
      <c r="N147" s="33"/>
      <c r="O147" s="33"/>
      <c r="P147" s="33"/>
      <c r="Q147" s="33"/>
      <c r="R147" s="33"/>
      <c r="S147" s="33"/>
    </row>
    <row r="148" spans="1:19" ht="12.75" hidden="1" customHeight="1" x14ac:dyDescent="0.25">
      <c r="A148" s="33"/>
      <c r="B148" s="33"/>
      <c r="C148" s="33"/>
      <c r="D148" s="33"/>
      <c r="E148" s="33"/>
      <c r="F148" s="33"/>
      <c r="G148" s="33"/>
      <c r="H148" s="33"/>
      <c r="I148" s="33"/>
      <c r="J148" s="33"/>
      <c r="L148" s="33"/>
      <c r="M148" s="33"/>
      <c r="N148" s="33"/>
      <c r="O148" s="33"/>
      <c r="P148" s="33"/>
      <c r="Q148" s="33"/>
      <c r="R148" s="33"/>
      <c r="S148" s="33"/>
    </row>
    <row r="149" spans="1:19" ht="12.75" hidden="1" customHeight="1" x14ac:dyDescent="0.25">
      <c r="A149" s="33"/>
      <c r="B149" s="33"/>
      <c r="C149" s="33"/>
      <c r="D149" s="33"/>
      <c r="E149" s="33"/>
      <c r="F149" s="33"/>
      <c r="G149" s="33"/>
      <c r="H149" s="33"/>
      <c r="I149" s="33"/>
      <c r="J149" s="33"/>
      <c r="L149" s="33"/>
      <c r="M149" s="33"/>
      <c r="N149" s="33"/>
      <c r="O149" s="33"/>
      <c r="P149" s="33"/>
      <c r="Q149" s="33"/>
      <c r="R149" s="33"/>
      <c r="S149" s="33"/>
    </row>
    <row r="150" spans="1:19" ht="12.75" hidden="1" customHeight="1" x14ac:dyDescent="0.25">
      <c r="A150" s="33"/>
      <c r="B150" s="33"/>
      <c r="C150" s="33"/>
      <c r="D150" s="33"/>
      <c r="E150" s="33"/>
      <c r="F150" s="33"/>
      <c r="G150" s="33"/>
      <c r="H150" s="33"/>
      <c r="I150" s="33"/>
      <c r="J150" s="33"/>
      <c r="L150" s="33"/>
      <c r="M150" s="33"/>
      <c r="N150" s="33"/>
      <c r="O150" s="33"/>
      <c r="P150" s="33"/>
      <c r="Q150" s="33"/>
      <c r="R150" s="33"/>
      <c r="S150" s="33"/>
    </row>
    <row r="151" spans="1:19" ht="12.75" hidden="1" customHeight="1" x14ac:dyDescent="0.25">
      <c r="A151" s="33"/>
      <c r="B151" s="33"/>
      <c r="C151" s="33"/>
      <c r="D151" s="33"/>
      <c r="E151" s="33"/>
      <c r="F151" s="33"/>
      <c r="G151" s="33"/>
      <c r="H151" s="33"/>
      <c r="I151" s="33"/>
      <c r="J151" s="33"/>
      <c r="L151" s="33"/>
      <c r="M151" s="33"/>
      <c r="N151" s="33"/>
      <c r="O151" s="33"/>
      <c r="P151" s="33"/>
      <c r="Q151" s="33"/>
      <c r="R151" s="33"/>
      <c r="S151" s="33"/>
    </row>
    <row r="152" spans="1:19" ht="12.75" hidden="1" customHeight="1" x14ac:dyDescent="0.25">
      <c r="A152" s="33"/>
      <c r="B152" s="33"/>
      <c r="C152" s="33"/>
      <c r="D152" s="33"/>
      <c r="E152" s="33"/>
      <c r="F152" s="33"/>
      <c r="G152" s="33"/>
      <c r="H152" s="33"/>
      <c r="I152" s="33"/>
      <c r="J152" s="33"/>
      <c r="L152" s="33"/>
      <c r="M152" s="33"/>
      <c r="N152" s="33"/>
      <c r="O152" s="33"/>
      <c r="P152" s="33"/>
      <c r="Q152" s="33"/>
      <c r="R152" s="33"/>
      <c r="S152" s="33"/>
    </row>
    <row r="153" spans="1:19" ht="12.75" hidden="1" customHeight="1" x14ac:dyDescent="0.25">
      <c r="A153" s="33"/>
      <c r="B153" s="33"/>
      <c r="C153" s="33"/>
      <c r="D153" s="33"/>
      <c r="E153" s="33"/>
      <c r="F153" s="33"/>
      <c r="G153" s="33"/>
      <c r="H153" s="33"/>
      <c r="I153" s="33"/>
      <c r="J153" s="33"/>
      <c r="L153" s="33"/>
      <c r="M153" s="33"/>
      <c r="N153" s="33"/>
      <c r="O153" s="33"/>
      <c r="P153" s="33"/>
      <c r="Q153" s="33"/>
      <c r="R153" s="33"/>
      <c r="S153" s="33"/>
    </row>
    <row r="154" spans="1:19" ht="12.75" hidden="1" customHeight="1" x14ac:dyDescent="0.25">
      <c r="A154" s="33"/>
      <c r="B154" s="33"/>
      <c r="C154" s="33"/>
      <c r="D154" s="33"/>
      <c r="E154" s="33"/>
      <c r="F154" s="33"/>
      <c r="G154" s="33"/>
      <c r="H154" s="33"/>
      <c r="I154" s="33"/>
      <c r="J154" s="33"/>
      <c r="L154" s="33"/>
      <c r="M154" s="33"/>
      <c r="N154" s="33"/>
      <c r="O154" s="33"/>
      <c r="P154" s="33"/>
      <c r="Q154" s="33"/>
      <c r="R154" s="33"/>
      <c r="S154" s="33"/>
    </row>
    <row r="155" spans="1:19" ht="12.75" hidden="1" customHeight="1" x14ac:dyDescent="0.25">
      <c r="A155" s="33"/>
      <c r="B155" s="33"/>
      <c r="C155" s="33"/>
      <c r="D155" s="33"/>
      <c r="E155" s="33"/>
      <c r="F155" s="33"/>
      <c r="G155" s="33"/>
      <c r="H155" s="33"/>
      <c r="I155" s="33"/>
      <c r="J155" s="33"/>
      <c r="L155" s="33"/>
      <c r="M155" s="33"/>
      <c r="N155" s="33"/>
      <c r="O155" s="33"/>
      <c r="P155" s="33"/>
      <c r="Q155" s="33"/>
      <c r="R155" s="33"/>
      <c r="S155" s="33"/>
    </row>
    <row r="156" spans="1:19" ht="12.75" hidden="1" customHeight="1" x14ac:dyDescent="0.25">
      <c r="A156" s="33"/>
      <c r="B156" s="33"/>
      <c r="C156" s="33"/>
      <c r="D156" s="33"/>
      <c r="E156" s="33"/>
      <c r="F156" s="33"/>
      <c r="G156" s="33"/>
      <c r="H156" s="33"/>
      <c r="I156" s="33"/>
      <c r="J156" s="33"/>
      <c r="L156" s="33"/>
      <c r="M156" s="33"/>
      <c r="N156" s="33"/>
      <c r="O156" s="33"/>
      <c r="P156" s="33"/>
      <c r="Q156" s="33"/>
      <c r="R156" s="33"/>
      <c r="S156" s="33"/>
    </row>
    <row r="157" spans="1:19" ht="12.75" hidden="1" customHeight="1" x14ac:dyDescent="0.25">
      <c r="A157" s="33"/>
      <c r="B157" s="33"/>
      <c r="C157" s="33"/>
      <c r="D157" s="33"/>
      <c r="E157" s="33"/>
      <c r="F157" s="33"/>
      <c r="G157" s="33"/>
      <c r="H157" s="33"/>
      <c r="I157" s="33"/>
      <c r="J157" s="33"/>
      <c r="L157" s="33"/>
      <c r="M157" s="33"/>
      <c r="N157" s="33"/>
      <c r="O157" s="33"/>
      <c r="P157" s="33"/>
      <c r="Q157" s="33"/>
      <c r="R157" s="33"/>
      <c r="S157" s="33"/>
    </row>
    <row r="158" spans="1:19" ht="12.75" hidden="1" customHeight="1" x14ac:dyDescent="0.25">
      <c r="A158" s="33"/>
      <c r="B158" s="33"/>
      <c r="C158" s="33"/>
      <c r="D158" s="33"/>
      <c r="E158" s="33"/>
      <c r="F158" s="33"/>
      <c r="G158" s="33"/>
      <c r="H158" s="33"/>
      <c r="I158" s="33"/>
      <c r="J158" s="33"/>
      <c r="L158" s="33"/>
      <c r="M158" s="33"/>
      <c r="N158" s="33"/>
      <c r="O158" s="33"/>
      <c r="P158" s="33"/>
      <c r="Q158" s="33"/>
      <c r="R158" s="33"/>
      <c r="S158" s="33"/>
    </row>
    <row r="159" spans="1:19" ht="12.75" hidden="1" customHeight="1" x14ac:dyDescent="0.25">
      <c r="A159" s="33"/>
      <c r="B159" s="33"/>
      <c r="C159" s="33"/>
      <c r="D159" s="33"/>
      <c r="E159" s="33"/>
      <c r="F159" s="33"/>
      <c r="G159" s="33"/>
      <c r="H159" s="33"/>
      <c r="I159" s="33"/>
      <c r="J159" s="33"/>
      <c r="L159" s="33"/>
      <c r="M159" s="33"/>
      <c r="N159" s="33"/>
      <c r="O159" s="33"/>
      <c r="P159" s="33"/>
      <c r="Q159" s="33"/>
      <c r="R159" s="33"/>
      <c r="S159" s="33"/>
    </row>
    <row r="160" spans="1:19" ht="12.75" hidden="1" customHeight="1" x14ac:dyDescent="0.25">
      <c r="A160" s="33"/>
      <c r="B160" s="33"/>
      <c r="C160" s="33"/>
      <c r="D160" s="33"/>
      <c r="E160" s="33"/>
      <c r="F160" s="33"/>
      <c r="G160" s="33"/>
      <c r="H160" s="33"/>
      <c r="I160" s="33"/>
      <c r="J160" s="33"/>
      <c r="L160" s="33"/>
      <c r="M160" s="33"/>
      <c r="N160" s="33"/>
      <c r="O160" s="33"/>
      <c r="P160" s="33"/>
      <c r="Q160" s="33"/>
      <c r="R160" s="33"/>
      <c r="S160" s="33"/>
    </row>
    <row r="161" spans="1:19" ht="12.75" hidden="1" customHeight="1" x14ac:dyDescent="0.25">
      <c r="A161" s="33"/>
      <c r="B161" s="33"/>
      <c r="C161" s="33"/>
      <c r="D161" s="33"/>
      <c r="E161" s="33"/>
      <c r="F161" s="33"/>
      <c r="G161" s="33"/>
      <c r="H161" s="33"/>
      <c r="I161" s="33"/>
      <c r="J161" s="33"/>
      <c r="L161" s="33"/>
      <c r="M161" s="33"/>
      <c r="N161" s="33"/>
      <c r="O161" s="33"/>
      <c r="P161" s="33"/>
      <c r="Q161" s="33"/>
      <c r="R161" s="33"/>
      <c r="S161" s="33"/>
    </row>
    <row r="162" spans="1:19" ht="12.75" hidden="1" customHeight="1" x14ac:dyDescent="0.25">
      <c r="A162" s="33"/>
      <c r="B162" s="33"/>
      <c r="C162" s="33"/>
      <c r="D162" s="33"/>
      <c r="E162" s="33"/>
      <c r="F162" s="33"/>
      <c r="G162" s="33"/>
      <c r="H162" s="33"/>
      <c r="I162" s="33"/>
      <c r="J162" s="33"/>
      <c r="L162" s="33"/>
      <c r="M162" s="33"/>
      <c r="N162" s="33"/>
      <c r="O162" s="33"/>
      <c r="P162" s="33"/>
      <c r="Q162" s="33"/>
      <c r="R162" s="33"/>
      <c r="S162" s="33"/>
    </row>
    <row r="163" spans="1:19" ht="12.75" hidden="1" customHeight="1" x14ac:dyDescent="0.25">
      <c r="A163" s="33"/>
      <c r="B163" s="33"/>
      <c r="C163" s="33"/>
      <c r="D163" s="33"/>
      <c r="E163" s="33"/>
      <c r="F163" s="33"/>
      <c r="G163" s="33"/>
      <c r="H163" s="33"/>
      <c r="I163" s="33"/>
      <c r="J163" s="33"/>
      <c r="L163" s="33"/>
      <c r="M163" s="33"/>
      <c r="N163" s="33"/>
      <c r="O163" s="33"/>
      <c r="P163" s="33"/>
      <c r="Q163" s="33"/>
      <c r="R163" s="33"/>
      <c r="S163" s="33"/>
    </row>
    <row r="164" spans="1:19" ht="12.75" hidden="1" customHeight="1" x14ac:dyDescent="0.25">
      <c r="A164" s="33"/>
      <c r="B164" s="33"/>
      <c r="C164" s="33"/>
      <c r="D164" s="33"/>
      <c r="E164" s="33"/>
      <c r="F164" s="33"/>
      <c r="G164" s="33"/>
      <c r="H164" s="33"/>
      <c r="I164" s="33"/>
      <c r="J164" s="33"/>
      <c r="L164" s="33"/>
      <c r="M164" s="33"/>
      <c r="N164" s="33"/>
      <c r="O164" s="33"/>
      <c r="P164" s="33"/>
      <c r="Q164" s="33"/>
      <c r="R164" s="33"/>
      <c r="S164" s="33"/>
    </row>
    <row r="165" spans="1:19" ht="12.75" hidden="1" customHeight="1" x14ac:dyDescent="0.25">
      <c r="A165" s="33"/>
      <c r="B165" s="33"/>
      <c r="C165" s="33"/>
      <c r="D165" s="33"/>
      <c r="E165" s="33"/>
      <c r="F165" s="33"/>
      <c r="G165" s="33"/>
      <c r="H165" s="33"/>
      <c r="I165" s="33"/>
      <c r="J165" s="33"/>
      <c r="L165" s="33"/>
      <c r="M165" s="33"/>
      <c r="N165" s="33"/>
      <c r="O165" s="33"/>
      <c r="P165" s="33"/>
      <c r="Q165" s="33"/>
      <c r="R165" s="33"/>
      <c r="S165" s="33"/>
    </row>
    <row r="166" spans="1:19" ht="12.75" hidden="1" customHeight="1" x14ac:dyDescent="0.25">
      <c r="A166" s="33"/>
      <c r="B166" s="33"/>
      <c r="C166" s="33"/>
      <c r="D166" s="33"/>
      <c r="E166" s="33"/>
      <c r="F166" s="33"/>
      <c r="G166" s="33"/>
      <c r="H166" s="33"/>
      <c r="I166" s="33"/>
      <c r="J166" s="33"/>
      <c r="L166" s="33"/>
      <c r="M166" s="33"/>
      <c r="N166" s="33"/>
      <c r="O166" s="33"/>
      <c r="P166" s="33"/>
      <c r="Q166" s="33"/>
      <c r="R166" s="33"/>
      <c r="S166" s="33"/>
    </row>
    <row r="167" spans="1:19" ht="12.75" hidden="1" customHeight="1" x14ac:dyDescent="0.25">
      <c r="A167" s="33"/>
      <c r="B167" s="33"/>
      <c r="C167" s="33"/>
      <c r="D167" s="33"/>
      <c r="E167" s="33"/>
      <c r="F167" s="33"/>
      <c r="G167" s="33"/>
      <c r="H167" s="33"/>
      <c r="I167" s="33"/>
      <c r="J167" s="33"/>
      <c r="L167" s="33"/>
      <c r="M167" s="33"/>
      <c r="N167" s="33"/>
      <c r="O167" s="33"/>
      <c r="P167" s="33"/>
      <c r="Q167" s="33"/>
      <c r="R167" s="33"/>
      <c r="S167" s="33"/>
    </row>
    <row r="168" spans="1:19" ht="12.75" hidden="1" customHeight="1" x14ac:dyDescent="0.25">
      <c r="A168" s="33"/>
      <c r="B168" s="33"/>
      <c r="C168" s="33"/>
      <c r="D168" s="33"/>
      <c r="E168" s="33"/>
      <c r="F168" s="33"/>
      <c r="G168" s="33"/>
      <c r="H168" s="33"/>
      <c r="I168" s="33"/>
      <c r="J168" s="33"/>
      <c r="L168" s="33"/>
      <c r="M168" s="33"/>
      <c r="N168" s="33"/>
      <c r="O168" s="33"/>
      <c r="P168" s="33"/>
      <c r="Q168" s="33"/>
      <c r="R168" s="33"/>
      <c r="S168" s="33"/>
    </row>
    <row r="169" spans="1:19" ht="12.75" hidden="1" customHeight="1" x14ac:dyDescent="0.25">
      <c r="A169" s="33"/>
      <c r="B169" s="33"/>
      <c r="C169" s="33"/>
      <c r="D169" s="33"/>
      <c r="E169" s="33"/>
      <c r="F169" s="33"/>
      <c r="G169" s="33"/>
      <c r="H169" s="33"/>
      <c r="I169" s="33"/>
      <c r="J169" s="33"/>
      <c r="L169" s="33"/>
      <c r="M169" s="33"/>
      <c r="N169" s="33"/>
      <c r="O169" s="33"/>
      <c r="P169" s="33"/>
      <c r="Q169" s="33"/>
      <c r="R169" s="33"/>
      <c r="S169" s="33"/>
    </row>
    <row r="170" spans="1:19" ht="12.75" hidden="1" customHeight="1" x14ac:dyDescent="0.25">
      <c r="A170" s="33"/>
      <c r="B170" s="33"/>
      <c r="C170" s="33"/>
      <c r="D170" s="33"/>
      <c r="E170" s="33"/>
      <c r="F170" s="33"/>
      <c r="G170" s="33"/>
      <c r="H170" s="33"/>
      <c r="I170" s="33"/>
      <c r="J170" s="33"/>
      <c r="L170" s="33"/>
      <c r="M170" s="33"/>
      <c r="N170" s="33"/>
      <c r="O170" s="33"/>
      <c r="P170" s="33"/>
      <c r="Q170" s="33"/>
      <c r="R170" s="33"/>
      <c r="S170" s="33"/>
    </row>
    <row r="171" spans="1:19" ht="12.75" hidden="1" customHeight="1" x14ac:dyDescent="0.25">
      <c r="A171" s="33"/>
      <c r="B171" s="33"/>
      <c r="C171" s="33"/>
      <c r="D171" s="33"/>
      <c r="E171" s="33"/>
      <c r="F171" s="33"/>
      <c r="G171" s="33"/>
      <c r="H171" s="33"/>
      <c r="I171" s="33"/>
      <c r="J171" s="33"/>
      <c r="L171" s="33"/>
      <c r="M171" s="33"/>
      <c r="N171" s="33"/>
      <c r="O171" s="33"/>
      <c r="P171" s="33"/>
      <c r="Q171" s="33"/>
      <c r="R171" s="33"/>
      <c r="S171" s="33"/>
    </row>
    <row r="172" spans="1:19" ht="12.75" hidden="1" customHeight="1" x14ac:dyDescent="0.25">
      <c r="A172" s="33"/>
      <c r="B172" s="33"/>
      <c r="C172" s="33"/>
      <c r="D172" s="33"/>
      <c r="E172" s="33"/>
      <c r="F172" s="33"/>
      <c r="G172" s="33"/>
      <c r="H172" s="33"/>
      <c r="I172" s="33"/>
      <c r="J172" s="33"/>
      <c r="L172" s="33"/>
      <c r="M172" s="33"/>
      <c r="N172" s="33"/>
      <c r="O172" s="33"/>
      <c r="P172" s="33"/>
      <c r="Q172" s="33"/>
      <c r="R172" s="33"/>
      <c r="S172" s="33"/>
    </row>
    <row r="173" spans="1:19" ht="12.75" hidden="1" customHeight="1" x14ac:dyDescent="0.25">
      <c r="A173" s="33"/>
      <c r="B173" s="33"/>
      <c r="C173" s="33"/>
      <c r="D173" s="33"/>
      <c r="E173" s="33"/>
      <c r="F173" s="33"/>
      <c r="G173" s="33"/>
      <c r="H173" s="33"/>
      <c r="I173" s="33"/>
      <c r="J173" s="33"/>
      <c r="L173" s="33"/>
      <c r="M173" s="33"/>
      <c r="N173" s="33"/>
      <c r="O173" s="33"/>
      <c r="P173" s="33"/>
      <c r="Q173" s="33"/>
      <c r="R173" s="33"/>
      <c r="S173" s="33"/>
    </row>
    <row r="174" spans="1:19" ht="12.75" hidden="1" customHeight="1" x14ac:dyDescent="0.25">
      <c r="A174" s="33"/>
      <c r="B174" s="33"/>
      <c r="C174" s="33"/>
      <c r="D174" s="33"/>
      <c r="E174" s="33"/>
      <c r="F174" s="33"/>
      <c r="G174" s="33"/>
      <c r="H174" s="33"/>
      <c r="I174" s="33"/>
      <c r="J174" s="33"/>
      <c r="L174" s="33"/>
      <c r="M174" s="33"/>
      <c r="N174" s="33"/>
      <c r="O174" s="33"/>
      <c r="P174" s="33"/>
      <c r="Q174" s="33"/>
      <c r="R174" s="33"/>
      <c r="S174" s="33"/>
    </row>
    <row r="175" spans="1:19" ht="12.75" hidden="1" customHeight="1" x14ac:dyDescent="0.25">
      <c r="A175" s="33"/>
      <c r="B175" s="33"/>
      <c r="C175" s="33"/>
      <c r="D175" s="33"/>
      <c r="E175" s="33"/>
      <c r="F175" s="33"/>
      <c r="G175" s="33"/>
      <c r="H175" s="33"/>
      <c r="I175" s="33"/>
      <c r="J175" s="33"/>
      <c r="L175" s="33"/>
      <c r="M175" s="33"/>
      <c r="N175" s="33"/>
      <c r="O175" s="33"/>
      <c r="P175" s="33"/>
      <c r="Q175" s="33"/>
      <c r="R175" s="33"/>
      <c r="S175" s="33"/>
    </row>
    <row r="176" spans="1:19" ht="12.75" hidden="1" customHeight="1" x14ac:dyDescent="0.25">
      <c r="A176" s="33"/>
      <c r="B176" s="33"/>
      <c r="C176" s="33"/>
      <c r="D176" s="33"/>
      <c r="E176" s="33"/>
      <c r="F176" s="33"/>
      <c r="G176" s="33"/>
      <c r="H176" s="33"/>
      <c r="I176" s="33"/>
      <c r="J176" s="33"/>
      <c r="L176" s="33"/>
      <c r="M176" s="33"/>
      <c r="N176" s="33"/>
      <c r="O176" s="33"/>
      <c r="P176" s="33"/>
      <c r="Q176" s="33"/>
      <c r="R176" s="33"/>
      <c r="S176" s="33"/>
    </row>
    <row r="177" spans="1:19" ht="12.75" hidden="1" customHeight="1" x14ac:dyDescent="0.25">
      <c r="A177" s="33"/>
      <c r="B177" s="33"/>
      <c r="C177" s="33"/>
      <c r="D177" s="33"/>
      <c r="E177" s="33"/>
      <c r="F177" s="33"/>
      <c r="G177" s="33"/>
      <c r="H177" s="33"/>
      <c r="I177" s="33"/>
      <c r="J177" s="33"/>
      <c r="L177" s="33"/>
      <c r="M177" s="33"/>
      <c r="N177" s="33"/>
      <c r="O177" s="33"/>
      <c r="P177" s="33"/>
      <c r="Q177" s="33"/>
      <c r="R177" s="33"/>
      <c r="S177" s="33"/>
    </row>
    <row r="178" spans="1:19" ht="12.75" hidden="1" customHeight="1" x14ac:dyDescent="0.25">
      <c r="A178" s="33"/>
      <c r="B178" s="33"/>
      <c r="C178" s="33"/>
      <c r="D178" s="33"/>
      <c r="E178" s="33"/>
      <c r="F178" s="33"/>
      <c r="G178" s="33"/>
      <c r="H178" s="33"/>
      <c r="I178" s="33"/>
      <c r="J178" s="33"/>
      <c r="L178" s="33"/>
      <c r="M178" s="33"/>
      <c r="N178" s="33"/>
      <c r="O178" s="33"/>
      <c r="P178" s="33"/>
      <c r="Q178" s="33"/>
      <c r="R178" s="33"/>
      <c r="S178" s="33"/>
    </row>
    <row r="179" spans="1:19" ht="12.75" hidden="1" customHeight="1" x14ac:dyDescent="0.25">
      <c r="A179" s="33"/>
      <c r="B179" s="33"/>
      <c r="C179" s="33"/>
      <c r="D179" s="33"/>
      <c r="E179" s="33"/>
      <c r="F179" s="33"/>
      <c r="G179" s="33"/>
      <c r="H179" s="33"/>
      <c r="I179" s="33"/>
      <c r="J179" s="33"/>
      <c r="L179" s="33"/>
      <c r="M179" s="33"/>
      <c r="N179" s="33"/>
      <c r="O179" s="33"/>
      <c r="P179" s="33"/>
      <c r="Q179" s="33"/>
      <c r="R179" s="33"/>
      <c r="S179" s="33"/>
    </row>
    <row r="180" spans="1:19" ht="12.75" hidden="1" customHeight="1" x14ac:dyDescent="0.25">
      <c r="A180" s="33"/>
      <c r="B180" s="33"/>
      <c r="C180" s="33"/>
      <c r="D180" s="33"/>
      <c r="E180" s="33"/>
      <c r="F180" s="33"/>
      <c r="G180" s="33"/>
      <c r="H180" s="33"/>
      <c r="I180" s="33"/>
      <c r="J180" s="33"/>
      <c r="L180" s="33"/>
      <c r="M180" s="33"/>
      <c r="N180" s="33"/>
      <c r="O180" s="33"/>
      <c r="P180" s="33"/>
      <c r="Q180" s="33"/>
      <c r="R180" s="33"/>
      <c r="S180" s="33"/>
    </row>
    <row r="181" spans="1:19" ht="12.75" hidden="1" customHeight="1" x14ac:dyDescent="0.25">
      <c r="A181" s="33"/>
      <c r="B181" s="33"/>
      <c r="C181" s="33"/>
      <c r="D181" s="33"/>
      <c r="E181" s="33"/>
      <c r="F181" s="33"/>
      <c r="G181" s="33"/>
      <c r="H181" s="33"/>
      <c r="I181" s="33"/>
      <c r="J181" s="33"/>
      <c r="L181" s="33"/>
      <c r="M181" s="33"/>
      <c r="N181" s="33"/>
      <c r="O181" s="33"/>
      <c r="P181" s="33"/>
      <c r="Q181" s="33"/>
      <c r="R181" s="33"/>
      <c r="S181" s="33"/>
    </row>
    <row r="182" spans="1:19" ht="12.75" hidden="1" customHeight="1" x14ac:dyDescent="0.25">
      <c r="A182" s="33"/>
      <c r="B182" s="33"/>
      <c r="C182" s="33"/>
      <c r="D182" s="33"/>
      <c r="E182" s="33"/>
      <c r="F182" s="33"/>
      <c r="G182" s="33"/>
      <c r="H182" s="33"/>
      <c r="I182" s="33"/>
      <c r="J182" s="33"/>
      <c r="L182" s="33"/>
      <c r="M182" s="33"/>
      <c r="N182" s="33"/>
      <c r="O182" s="33"/>
      <c r="P182" s="33"/>
      <c r="Q182" s="33"/>
      <c r="R182" s="33"/>
      <c r="S182" s="33"/>
    </row>
    <row r="183" spans="1:19" ht="12.75" hidden="1" customHeight="1" x14ac:dyDescent="0.25">
      <c r="A183" s="33"/>
      <c r="B183" s="33"/>
      <c r="C183" s="33"/>
      <c r="D183" s="33"/>
      <c r="E183" s="33"/>
      <c r="F183" s="33"/>
      <c r="G183" s="33"/>
      <c r="H183" s="33"/>
      <c r="I183" s="33"/>
      <c r="J183" s="33"/>
      <c r="L183" s="33"/>
      <c r="M183" s="33"/>
      <c r="N183" s="33"/>
      <c r="O183" s="33"/>
      <c r="P183" s="33"/>
      <c r="Q183" s="33"/>
      <c r="R183" s="33"/>
      <c r="S183" s="33"/>
    </row>
    <row r="184" spans="1:19" ht="12.75" hidden="1" customHeight="1" x14ac:dyDescent="0.25">
      <c r="A184" s="33"/>
      <c r="B184" s="33"/>
      <c r="C184" s="33"/>
      <c r="D184" s="33"/>
      <c r="E184" s="33"/>
      <c r="F184" s="33"/>
      <c r="G184" s="33"/>
      <c r="H184" s="33"/>
      <c r="I184" s="33"/>
      <c r="J184" s="33"/>
      <c r="L184" s="33"/>
      <c r="M184" s="33"/>
      <c r="N184" s="33"/>
      <c r="O184" s="33"/>
      <c r="P184" s="33"/>
      <c r="Q184" s="33"/>
      <c r="R184" s="33"/>
      <c r="S184" s="33"/>
    </row>
    <row r="185" spans="1:19" ht="12.75" hidden="1" customHeight="1" x14ac:dyDescent="0.25">
      <c r="A185" s="33"/>
      <c r="B185" s="33"/>
      <c r="C185" s="33"/>
      <c r="D185" s="33"/>
      <c r="E185" s="33"/>
      <c r="F185" s="33"/>
      <c r="G185" s="33"/>
      <c r="H185" s="33"/>
      <c r="I185" s="33"/>
      <c r="J185" s="33"/>
      <c r="L185" s="33"/>
      <c r="M185" s="33"/>
      <c r="N185" s="33"/>
      <c r="O185" s="33"/>
      <c r="P185" s="33"/>
      <c r="Q185" s="33"/>
      <c r="R185" s="33"/>
      <c r="S185" s="33"/>
    </row>
    <row r="186" spans="1:19" ht="12.75" hidden="1" customHeight="1" x14ac:dyDescent="0.25">
      <c r="A186" s="33"/>
      <c r="B186" s="33"/>
      <c r="C186" s="33"/>
      <c r="D186" s="33"/>
      <c r="E186" s="33"/>
      <c r="F186" s="33"/>
      <c r="G186" s="33"/>
      <c r="H186" s="33"/>
      <c r="I186" s="33"/>
      <c r="J186" s="33"/>
      <c r="L186" s="33"/>
      <c r="M186" s="33"/>
      <c r="N186" s="33"/>
      <c r="O186" s="33"/>
      <c r="P186" s="33"/>
      <c r="Q186" s="33"/>
      <c r="R186" s="33"/>
      <c r="S186" s="33"/>
    </row>
    <row r="187" spans="1:19" ht="12.75" hidden="1" customHeight="1" x14ac:dyDescent="0.25">
      <c r="A187" s="33"/>
      <c r="B187" s="33"/>
      <c r="C187" s="33"/>
      <c r="D187" s="33"/>
      <c r="E187" s="33"/>
      <c r="F187" s="33"/>
      <c r="G187" s="33"/>
      <c r="H187" s="33"/>
      <c r="I187" s="33"/>
      <c r="J187" s="33"/>
      <c r="L187" s="33"/>
      <c r="M187" s="33"/>
      <c r="N187" s="33"/>
      <c r="O187" s="33"/>
      <c r="P187" s="33"/>
      <c r="Q187" s="33"/>
      <c r="R187" s="33"/>
      <c r="S187" s="33"/>
    </row>
    <row r="188" spans="1:19" ht="12.75" hidden="1" customHeight="1" x14ac:dyDescent="0.25">
      <c r="A188" s="33"/>
      <c r="B188" s="33"/>
      <c r="C188" s="33"/>
      <c r="D188" s="33"/>
      <c r="E188" s="33"/>
      <c r="F188" s="33"/>
      <c r="G188" s="33"/>
      <c r="H188" s="33"/>
      <c r="I188" s="33"/>
      <c r="J188" s="33"/>
      <c r="L188" s="33"/>
      <c r="M188" s="33"/>
      <c r="N188" s="33"/>
      <c r="O188" s="33"/>
      <c r="P188" s="33"/>
      <c r="Q188" s="33"/>
      <c r="R188" s="33"/>
      <c r="S188" s="33"/>
    </row>
    <row r="189" spans="1:19" ht="12.75" hidden="1" customHeight="1" x14ac:dyDescent="0.25">
      <c r="A189" s="33"/>
      <c r="B189" s="33"/>
      <c r="C189" s="33"/>
      <c r="D189" s="33"/>
      <c r="E189" s="33"/>
      <c r="F189" s="33"/>
      <c r="G189" s="33"/>
      <c r="H189" s="33"/>
      <c r="I189" s="33"/>
      <c r="J189" s="33"/>
      <c r="L189" s="33"/>
      <c r="M189" s="33"/>
      <c r="N189" s="33"/>
      <c r="O189" s="33"/>
      <c r="P189" s="33"/>
      <c r="Q189" s="33"/>
      <c r="R189" s="33"/>
      <c r="S189" s="33"/>
    </row>
    <row r="190" spans="1:19" ht="12.75" hidden="1" customHeight="1" x14ac:dyDescent="0.25">
      <c r="A190" s="33"/>
      <c r="B190" s="33"/>
      <c r="C190" s="33"/>
      <c r="D190" s="33"/>
      <c r="E190" s="33"/>
      <c r="F190" s="33"/>
      <c r="G190" s="33"/>
      <c r="H190" s="33"/>
      <c r="I190" s="33"/>
      <c r="J190" s="33"/>
      <c r="L190" s="33"/>
      <c r="M190" s="33"/>
      <c r="N190" s="33"/>
      <c r="O190" s="33"/>
      <c r="P190" s="33"/>
      <c r="Q190" s="33"/>
      <c r="R190" s="33"/>
      <c r="S190" s="33"/>
    </row>
    <row r="191" spans="1:19" ht="12.75" hidden="1" customHeight="1" x14ac:dyDescent="0.25">
      <c r="A191" s="33"/>
      <c r="B191" s="33"/>
      <c r="C191" s="33"/>
      <c r="D191" s="33"/>
      <c r="E191" s="33"/>
      <c r="F191" s="33"/>
      <c r="G191" s="33"/>
      <c r="H191" s="33"/>
      <c r="I191" s="33"/>
      <c r="J191" s="33"/>
      <c r="L191" s="33"/>
      <c r="M191" s="33"/>
      <c r="N191" s="33"/>
      <c r="O191" s="33"/>
      <c r="P191" s="33"/>
      <c r="Q191" s="33"/>
      <c r="R191" s="33"/>
      <c r="S191" s="33"/>
    </row>
    <row r="192" spans="1:19" ht="12.75" hidden="1" customHeight="1" x14ac:dyDescent="0.25">
      <c r="A192" s="33"/>
      <c r="B192" s="33"/>
      <c r="C192" s="33"/>
      <c r="D192" s="33"/>
      <c r="E192" s="33"/>
      <c r="F192" s="33"/>
      <c r="G192" s="33"/>
      <c r="H192" s="33"/>
      <c r="I192" s="33"/>
      <c r="J192" s="33"/>
      <c r="L192" s="33"/>
      <c r="M192" s="33"/>
      <c r="N192" s="33"/>
      <c r="O192" s="33"/>
      <c r="P192" s="33"/>
      <c r="Q192" s="33"/>
      <c r="R192" s="33"/>
      <c r="S192" s="33"/>
    </row>
    <row r="193" spans="1:19" ht="12.75" hidden="1" customHeight="1" x14ac:dyDescent="0.25">
      <c r="A193" s="33"/>
      <c r="B193" s="33"/>
      <c r="C193" s="33"/>
      <c r="D193" s="33"/>
      <c r="E193" s="33"/>
      <c r="F193" s="33"/>
      <c r="G193" s="33"/>
      <c r="H193" s="33"/>
      <c r="I193" s="33"/>
      <c r="J193" s="33"/>
      <c r="L193" s="33"/>
      <c r="M193" s="33"/>
      <c r="N193" s="33"/>
      <c r="O193" s="33"/>
      <c r="P193" s="33"/>
      <c r="Q193" s="33"/>
      <c r="R193" s="33"/>
      <c r="S193" s="33"/>
    </row>
    <row r="194" spans="1:19" ht="12.75" hidden="1" customHeight="1" x14ac:dyDescent="0.25">
      <c r="A194" s="33"/>
      <c r="B194" s="33"/>
      <c r="C194" s="33"/>
      <c r="D194" s="33"/>
      <c r="E194" s="33"/>
      <c r="F194" s="33"/>
      <c r="G194" s="33"/>
      <c r="H194" s="33"/>
      <c r="I194" s="33"/>
      <c r="J194" s="33"/>
      <c r="L194" s="33"/>
      <c r="M194" s="33"/>
      <c r="N194" s="33"/>
      <c r="O194" s="33"/>
      <c r="P194" s="33"/>
      <c r="Q194" s="33"/>
      <c r="R194" s="33"/>
      <c r="S194" s="33"/>
    </row>
    <row r="195" spans="1:19" ht="12.75" hidden="1" customHeight="1" x14ac:dyDescent="0.25">
      <c r="A195" s="33"/>
      <c r="B195" s="33"/>
      <c r="C195" s="33"/>
      <c r="D195" s="33"/>
      <c r="E195" s="33"/>
      <c r="F195" s="33"/>
      <c r="G195" s="33"/>
      <c r="H195" s="33"/>
      <c r="I195" s="33"/>
      <c r="J195" s="33"/>
      <c r="L195" s="33"/>
      <c r="M195" s="33"/>
      <c r="N195" s="33"/>
      <c r="O195" s="33"/>
      <c r="P195" s="33"/>
      <c r="Q195" s="33"/>
      <c r="R195" s="33"/>
      <c r="S195" s="33"/>
    </row>
    <row r="196" spans="1:19" ht="12.75" hidden="1" customHeight="1" x14ac:dyDescent="0.25">
      <c r="A196" s="33"/>
      <c r="B196" s="33"/>
      <c r="C196" s="33"/>
      <c r="D196" s="33"/>
      <c r="E196" s="33"/>
      <c r="F196" s="33"/>
      <c r="G196" s="33"/>
      <c r="H196" s="33"/>
      <c r="I196" s="33"/>
      <c r="J196" s="33"/>
      <c r="L196" s="33"/>
      <c r="M196" s="33"/>
      <c r="N196" s="33"/>
      <c r="O196" s="33"/>
      <c r="P196" s="33"/>
      <c r="Q196" s="33"/>
      <c r="R196" s="33"/>
      <c r="S196" s="33"/>
    </row>
    <row r="197" spans="1:19" ht="12.75" hidden="1" customHeight="1" x14ac:dyDescent="0.25">
      <c r="A197" s="33"/>
      <c r="B197" s="33"/>
      <c r="C197" s="33"/>
      <c r="D197" s="33"/>
      <c r="E197" s="33"/>
      <c r="F197" s="33"/>
      <c r="G197" s="33"/>
      <c r="H197" s="33"/>
      <c r="I197" s="33"/>
      <c r="J197" s="33"/>
      <c r="L197" s="33"/>
      <c r="M197" s="33"/>
      <c r="N197" s="33"/>
      <c r="O197" s="33"/>
      <c r="P197" s="33"/>
      <c r="Q197" s="33"/>
      <c r="R197" s="33"/>
      <c r="S197" s="33"/>
    </row>
    <row r="198" spans="1:19" ht="12.75" hidden="1" customHeight="1" x14ac:dyDescent="0.25">
      <c r="A198" s="33"/>
      <c r="B198" s="33"/>
      <c r="C198" s="33"/>
      <c r="D198" s="33"/>
      <c r="E198" s="33"/>
      <c r="F198" s="33"/>
      <c r="G198" s="33"/>
      <c r="H198" s="33"/>
      <c r="I198" s="33"/>
      <c r="J198" s="33"/>
      <c r="L198" s="33"/>
      <c r="M198" s="33"/>
      <c r="N198" s="33"/>
      <c r="O198" s="33"/>
      <c r="P198" s="33"/>
      <c r="Q198" s="33"/>
      <c r="R198" s="33"/>
      <c r="S198" s="33"/>
    </row>
    <row r="199" spans="1:19" ht="12.75" hidden="1" customHeight="1" x14ac:dyDescent="0.25">
      <c r="A199" s="33"/>
      <c r="B199" s="33"/>
      <c r="C199" s="33"/>
      <c r="D199" s="33"/>
      <c r="E199" s="33"/>
      <c r="F199" s="33"/>
      <c r="G199" s="33"/>
      <c r="H199" s="33"/>
      <c r="I199" s="33"/>
      <c r="J199" s="33"/>
      <c r="L199" s="33"/>
      <c r="M199" s="33"/>
      <c r="N199" s="33"/>
      <c r="O199" s="33"/>
      <c r="P199" s="33"/>
      <c r="Q199" s="33"/>
      <c r="R199" s="33"/>
      <c r="S199" s="33"/>
    </row>
    <row r="200" spans="1:19" ht="12.75" hidden="1" customHeight="1" x14ac:dyDescent="0.25">
      <c r="A200" s="33"/>
      <c r="B200" s="33"/>
      <c r="C200" s="33"/>
      <c r="D200" s="33"/>
      <c r="E200" s="33"/>
      <c r="F200" s="33"/>
      <c r="G200" s="33"/>
      <c r="H200" s="33"/>
      <c r="I200" s="33"/>
      <c r="J200" s="33"/>
      <c r="L200" s="33"/>
      <c r="M200" s="33"/>
      <c r="N200" s="33"/>
      <c r="O200" s="33"/>
      <c r="P200" s="33"/>
      <c r="Q200" s="33"/>
      <c r="R200" s="33"/>
      <c r="S200" s="33"/>
    </row>
    <row r="201" spans="1:19" ht="12.75" hidden="1" customHeight="1" x14ac:dyDescent="0.25">
      <c r="A201" s="33"/>
      <c r="B201" s="33"/>
      <c r="C201" s="33"/>
      <c r="D201" s="33"/>
      <c r="E201" s="33"/>
      <c r="F201" s="33"/>
      <c r="G201" s="33"/>
      <c r="H201" s="33"/>
      <c r="I201" s="33"/>
      <c r="J201" s="33"/>
      <c r="L201" s="33"/>
      <c r="M201" s="33"/>
      <c r="N201" s="33"/>
      <c r="O201" s="33"/>
      <c r="P201" s="33"/>
      <c r="Q201" s="33"/>
      <c r="R201" s="33"/>
      <c r="S201" s="33"/>
    </row>
    <row r="202" spans="1:19" ht="12.75" hidden="1" customHeight="1" x14ac:dyDescent="0.25">
      <c r="A202" s="33"/>
      <c r="B202" s="33"/>
      <c r="C202" s="33"/>
      <c r="D202" s="33"/>
      <c r="E202" s="33"/>
      <c r="F202" s="33"/>
      <c r="G202" s="33"/>
      <c r="H202" s="33"/>
      <c r="I202" s="33"/>
      <c r="J202" s="33"/>
      <c r="L202" s="33"/>
      <c r="M202" s="33"/>
      <c r="N202" s="33"/>
      <c r="O202" s="33"/>
      <c r="P202" s="33"/>
      <c r="Q202" s="33"/>
      <c r="R202" s="33"/>
      <c r="S202" s="33"/>
    </row>
    <row r="203" spans="1:19" ht="12.75" hidden="1" customHeight="1" x14ac:dyDescent="0.25">
      <c r="A203" s="33"/>
      <c r="B203" s="33"/>
      <c r="C203" s="33"/>
      <c r="D203" s="33"/>
      <c r="E203" s="33"/>
      <c r="F203" s="33"/>
      <c r="G203" s="33"/>
      <c r="H203" s="33"/>
      <c r="I203" s="33"/>
      <c r="J203" s="33"/>
      <c r="L203" s="33"/>
      <c r="M203" s="33"/>
      <c r="N203" s="33"/>
      <c r="O203" s="33"/>
      <c r="P203" s="33"/>
      <c r="Q203" s="33"/>
      <c r="R203" s="33"/>
      <c r="S203" s="33"/>
    </row>
    <row r="204" spans="1:19" ht="12.75" hidden="1" customHeight="1" x14ac:dyDescent="0.25">
      <c r="A204" s="33"/>
      <c r="B204" s="33"/>
      <c r="C204" s="33"/>
      <c r="D204" s="33"/>
      <c r="E204" s="33"/>
      <c r="F204" s="33"/>
      <c r="G204" s="33"/>
      <c r="H204" s="33"/>
      <c r="I204" s="33"/>
      <c r="J204" s="33"/>
      <c r="L204" s="33"/>
      <c r="M204" s="33"/>
      <c r="N204" s="33"/>
      <c r="O204" s="33"/>
      <c r="P204" s="33"/>
      <c r="Q204" s="33"/>
      <c r="R204" s="33"/>
      <c r="S204" s="33"/>
    </row>
    <row r="205" spans="1:19" ht="12.75" hidden="1" customHeight="1" x14ac:dyDescent="0.25">
      <c r="A205" s="33"/>
      <c r="B205" s="33"/>
      <c r="C205" s="33"/>
      <c r="D205" s="33"/>
      <c r="E205" s="33"/>
      <c r="F205" s="33"/>
      <c r="G205" s="33"/>
      <c r="H205" s="33"/>
      <c r="I205" s="33"/>
      <c r="J205" s="33"/>
      <c r="L205" s="33"/>
      <c r="M205" s="33"/>
      <c r="N205" s="33"/>
      <c r="O205" s="33"/>
      <c r="P205" s="33"/>
      <c r="Q205" s="33"/>
      <c r="R205" s="33"/>
      <c r="S205" s="33"/>
    </row>
    <row r="206" spans="1:19" ht="12.75" hidden="1" customHeight="1" x14ac:dyDescent="0.25">
      <c r="A206" s="33"/>
      <c r="B206" s="33"/>
      <c r="C206" s="33"/>
      <c r="D206" s="33"/>
      <c r="E206" s="33"/>
      <c r="F206" s="33"/>
      <c r="G206" s="33"/>
      <c r="H206" s="33"/>
      <c r="I206" s="33"/>
      <c r="J206" s="33"/>
      <c r="L206" s="33"/>
      <c r="M206" s="33"/>
      <c r="N206" s="33"/>
      <c r="O206" s="33"/>
      <c r="P206" s="33"/>
      <c r="Q206" s="33"/>
      <c r="R206" s="33"/>
      <c r="S206" s="33"/>
    </row>
    <row r="207" spans="1:19" ht="12.75" hidden="1" customHeight="1" x14ac:dyDescent="0.25">
      <c r="A207" s="33"/>
      <c r="B207" s="33"/>
      <c r="C207" s="33"/>
      <c r="D207" s="33"/>
      <c r="E207" s="33"/>
      <c r="F207" s="33"/>
      <c r="G207" s="33"/>
      <c r="H207" s="33"/>
      <c r="I207" s="33"/>
      <c r="J207" s="33"/>
      <c r="L207" s="33"/>
      <c r="M207" s="33"/>
      <c r="N207" s="33"/>
      <c r="O207" s="33"/>
      <c r="P207" s="33"/>
      <c r="Q207" s="33"/>
      <c r="R207" s="33"/>
      <c r="S207" s="33"/>
    </row>
    <row r="208" spans="1:19" ht="12.75" hidden="1" customHeight="1" x14ac:dyDescent="0.25">
      <c r="A208" s="33"/>
      <c r="B208" s="33"/>
      <c r="C208" s="33"/>
      <c r="D208" s="33"/>
      <c r="E208" s="33"/>
      <c r="F208" s="33"/>
      <c r="G208" s="33"/>
      <c r="H208" s="33"/>
      <c r="I208" s="33"/>
      <c r="J208" s="33"/>
      <c r="L208" s="33"/>
      <c r="M208" s="33"/>
      <c r="N208" s="33"/>
      <c r="O208" s="33"/>
      <c r="P208" s="33"/>
      <c r="Q208" s="33"/>
      <c r="R208" s="33"/>
      <c r="S208" s="33"/>
    </row>
    <row r="209" spans="1:19" ht="12.75" hidden="1" customHeight="1" x14ac:dyDescent="0.25">
      <c r="A209" s="33"/>
      <c r="B209" s="33"/>
      <c r="C209" s="33"/>
      <c r="D209" s="33"/>
      <c r="E209" s="33"/>
      <c r="F209" s="33"/>
      <c r="G209" s="33"/>
      <c r="H209" s="33"/>
      <c r="I209" s="33"/>
      <c r="J209" s="33"/>
      <c r="L209" s="33"/>
      <c r="M209" s="33"/>
      <c r="N209" s="33"/>
      <c r="O209" s="33"/>
      <c r="P209" s="33"/>
      <c r="Q209" s="33"/>
      <c r="R209" s="33"/>
      <c r="S209" s="33"/>
    </row>
    <row r="210" spans="1:19" ht="12.75" hidden="1" customHeight="1" x14ac:dyDescent="0.25">
      <c r="A210" s="33"/>
      <c r="B210" s="33"/>
      <c r="C210" s="33"/>
      <c r="D210" s="33"/>
      <c r="E210" s="33"/>
      <c r="F210" s="33"/>
      <c r="G210" s="33"/>
      <c r="H210" s="33"/>
      <c r="I210" s="33"/>
      <c r="J210" s="33"/>
      <c r="L210" s="33"/>
      <c r="M210" s="33"/>
      <c r="N210" s="33"/>
      <c r="O210" s="33"/>
      <c r="P210" s="33"/>
      <c r="Q210" s="33"/>
      <c r="R210" s="33"/>
      <c r="S210" s="33"/>
    </row>
    <row r="211" spans="1:19" ht="12.75" hidden="1" customHeight="1" x14ac:dyDescent="0.25">
      <c r="A211" s="33"/>
      <c r="B211" s="33"/>
      <c r="C211" s="33"/>
      <c r="D211" s="33"/>
      <c r="E211" s="33"/>
      <c r="F211" s="33"/>
      <c r="G211" s="33"/>
      <c r="H211" s="33"/>
      <c r="I211" s="33"/>
      <c r="J211" s="33"/>
      <c r="L211" s="33"/>
      <c r="M211" s="33"/>
      <c r="N211" s="33"/>
      <c r="O211" s="33"/>
      <c r="P211" s="33"/>
      <c r="Q211" s="33"/>
      <c r="R211" s="33"/>
      <c r="S211" s="33"/>
    </row>
    <row r="212" spans="1:19" ht="12.75" hidden="1" customHeight="1" x14ac:dyDescent="0.25">
      <c r="A212" s="33"/>
      <c r="B212" s="33"/>
      <c r="C212" s="33"/>
      <c r="D212" s="33"/>
      <c r="E212" s="33"/>
      <c r="F212" s="33"/>
      <c r="G212" s="33"/>
      <c r="H212" s="33"/>
      <c r="I212" s="33"/>
      <c r="J212" s="33"/>
      <c r="L212" s="33"/>
      <c r="M212" s="33"/>
      <c r="N212" s="33"/>
      <c r="O212" s="33"/>
      <c r="P212" s="33"/>
      <c r="Q212" s="33"/>
      <c r="R212" s="33"/>
      <c r="S212" s="33"/>
    </row>
    <row r="213" spans="1:19" ht="12.75" hidden="1" customHeight="1" x14ac:dyDescent="0.25">
      <c r="A213" s="33"/>
      <c r="B213" s="33"/>
      <c r="C213" s="33"/>
      <c r="D213" s="33"/>
      <c r="E213" s="33"/>
      <c r="F213" s="33"/>
      <c r="G213" s="33"/>
      <c r="H213" s="33"/>
      <c r="I213" s="33"/>
      <c r="J213" s="33"/>
      <c r="L213" s="33"/>
      <c r="M213" s="33"/>
      <c r="N213" s="33"/>
      <c r="O213" s="33"/>
      <c r="P213" s="33"/>
      <c r="Q213" s="33"/>
      <c r="R213" s="33"/>
      <c r="S213" s="33"/>
    </row>
    <row r="214" spans="1:19" ht="12.75" hidden="1" customHeight="1" x14ac:dyDescent="0.25">
      <c r="A214" s="33"/>
      <c r="B214" s="33"/>
      <c r="C214" s="33"/>
      <c r="D214" s="33"/>
      <c r="E214" s="33"/>
      <c r="F214" s="33"/>
      <c r="G214" s="33"/>
      <c r="H214" s="33"/>
      <c r="I214" s="33"/>
      <c r="J214" s="33"/>
      <c r="L214" s="33"/>
      <c r="M214" s="33"/>
      <c r="N214" s="33"/>
      <c r="O214" s="33"/>
      <c r="P214" s="33"/>
      <c r="Q214" s="33"/>
      <c r="R214" s="33"/>
      <c r="S214" s="33"/>
    </row>
    <row r="215" spans="1:19" ht="12.75" hidden="1" customHeight="1" x14ac:dyDescent="0.25">
      <c r="A215" s="33"/>
      <c r="B215" s="33"/>
      <c r="C215" s="33"/>
      <c r="D215" s="33"/>
      <c r="E215" s="33"/>
      <c r="F215" s="33"/>
      <c r="G215" s="33"/>
      <c r="H215" s="33"/>
      <c r="I215" s="33"/>
      <c r="J215" s="33"/>
      <c r="L215" s="33"/>
      <c r="M215" s="33"/>
      <c r="N215" s="33"/>
      <c r="O215" s="33"/>
      <c r="P215" s="33"/>
      <c r="Q215" s="33"/>
      <c r="R215" s="33"/>
      <c r="S215" s="33"/>
    </row>
    <row r="216" spans="1:19" ht="12.75" hidden="1" customHeight="1" x14ac:dyDescent="0.25">
      <c r="A216" s="33"/>
      <c r="B216" s="33"/>
      <c r="C216" s="33"/>
      <c r="D216" s="33"/>
      <c r="E216" s="33"/>
      <c r="F216" s="33"/>
      <c r="G216" s="33"/>
      <c r="H216" s="33"/>
      <c r="I216" s="33"/>
      <c r="J216" s="33"/>
      <c r="L216" s="33"/>
      <c r="M216" s="33"/>
      <c r="N216" s="33"/>
      <c r="O216" s="33"/>
      <c r="P216" s="33"/>
      <c r="Q216" s="33"/>
      <c r="R216" s="33"/>
      <c r="S216" s="33"/>
    </row>
    <row r="217" spans="1:19" ht="12.75" hidden="1" customHeight="1" x14ac:dyDescent="0.25">
      <c r="A217" s="33"/>
      <c r="B217" s="33"/>
      <c r="C217" s="33"/>
      <c r="D217" s="33"/>
      <c r="E217" s="33"/>
      <c r="F217" s="33"/>
      <c r="G217" s="33"/>
      <c r="H217" s="33"/>
      <c r="I217" s="33"/>
      <c r="J217" s="33"/>
      <c r="L217" s="33"/>
      <c r="M217" s="33"/>
      <c r="N217" s="33"/>
      <c r="O217" s="33"/>
      <c r="P217" s="33"/>
      <c r="Q217" s="33"/>
      <c r="R217" s="33"/>
      <c r="S217" s="33"/>
    </row>
    <row r="218" spans="1:19" ht="12.75" hidden="1" customHeight="1" x14ac:dyDescent="0.25">
      <c r="A218" s="33"/>
      <c r="B218" s="33"/>
      <c r="C218" s="33"/>
      <c r="D218" s="33"/>
      <c r="E218" s="33"/>
      <c r="F218" s="33"/>
      <c r="G218" s="33"/>
      <c r="H218" s="33"/>
      <c r="I218" s="33"/>
      <c r="J218" s="33"/>
      <c r="L218" s="33"/>
      <c r="M218" s="33"/>
      <c r="N218" s="33"/>
      <c r="O218" s="33"/>
      <c r="P218" s="33"/>
      <c r="Q218" s="33"/>
      <c r="R218" s="33"/>
      <c r="S218" s="33"/>
    </row>
    <row r="219" spans="1:19" ht="12.75" hidden="1" customHeight="1" x14ac:dyDescent="0.25">
      <c r="A219" s="33"/>
      <c r="B219" s="33"/>
      <c r="C219" s="33"/>
      <c r="D219" s="33"/>
      <c r="E219" s="33"/>
      <c r="F219" s="33"/>
      <c r="G219" s="33"/>
      <c r="H219" s="33"/>
      <c r="I219" s="33"/>
      <c r="J219" s="33"/>
      <c r="L219" s="33"/>
      <c r="M219" s="33"/>
      <c r="N219" s="33"/>
      <c r="O219" s="33"/>
      <c r="P219" s="33"/>
      <c r="Q219" s="33"/>
      <c r="R219" s="33"/>
      <c r="S219" s="33"/>
    </row>
    <row r="220" spans="1:19" ht="12.75" hidden="1" customHeight="1" x14ac:dyDescent="0.25">
      <c r="A220" s="33"/>
      <c r="B220" s="33"/>
      <c r="C220" s="33"/>
      <c r="D220" s="33"/>
      <c r="E220" s="33"/>
      <c r="F220" s="33"/>
      <c r="G220" s="33"/>
      <c r="H220" s="33"/>
      <c r="I220" s="33"/>
      <c r="J220" s="33"/>
      <c r="L220" s="33"/>
      <c r="M220" s="33"/>
      <c r="N220" s="33"/>
      <c r="O220" s="33"/>
      <c r="P220" s="33"/>
      <c r="Q220" s="33"/>
      <c r="R220" s="33"/>
      <c r="S220" s="33"/>
    </row>
    <row r="221" spans="1:19" ht="12.75" hidden="1" customHeight="1" x14ac:dyDescent="0.25">
      <c r="A221" s="33"/>
      <c r="B221" s="33"/>
      <c r="C221" s="33"/>
      <c r="D221" s="33"/>
      <c r="E221" s="33"/>
      <c r="F221" s="33"/>
      <c r="G221" s="33"/>
      <c r="H221" s="33"/>
      <c r="I221" s="33"/>
      <c r="J221" s="33"/>
      <c r="L221" s="33"/>
      <c r="M221" s="33"/>
      <c r="N221" s="33"/>
      <c r="O221" s="33"/>
      <c r="P221" s="33"/>
      <c r="Q221" s="33"/>
      <c r="R221" s="33"/>
      <c r="S221" s="33"/>
    </row>
    <row r="222" spans="1:19" ht="12.75" hidden="1" customHeight="1" x14ac:dyDescent="0.25">
      <c r="A222" s="33"/>
      <c r="B222" s="33"/>
      <c r="C222" s="33"/>
      <c r="D222" s="33"/>
      <c r="E222" s="33"/>
      <c r="F222" s="33"/>
      <c r="G222" s="33"/>
      <c r="H222" s="33"/>
      <c r="I222" s="33"/>
      <c r="J222" s="33"/>
      <c r="L222" s="33"/>
      <c r="M222" s="33"/>
      <c r="N222" s="33"/>
      <c r="O222" s="33"/>
      <c r="P222" s="33"/>
      <c r="Q222" s="33"/>
      <c r="R222" s="33"/>
      <c r="S222" s="33"/>
    </row>
    <row r="223" spans="1:19" ht="12.75" hidden="1" customHeight="1" x14ac:dyDescent="0.25">
      <c r="A223" s="33"/>
      <c r="B223" s="33"/>
      <c r="C223" s="33"/>
      <c r="D223" s="33"/>
      <c r="E223" s="33"/>
      <c r="F223" s="33"/>
      <c r="G223" s="33"/>
      <c r="H223" s="33"/>
      <c r="I223" s="33"/>
      <c r="J223" s="33"/>
      <c r="L223" s="33"/>
      <c r="M223" s="33"/>
      <c r="N223" s="33"/>
      <c r="O223" s="33"/>
      <c r="P223" s="33"/>
      <c r="Q223" s="33"/>
      <c r="R223" s="33"/>
      <c r="S223" s="33"/>
    </row>
    <row r="224" spans="1:19" ht="12.75" hidden="1" customHeight="1" x14ac:dyDescent="0.25">
      <c r="A224" s="33"/>
      <c r="B224" s="33"/>
      <c r="C224" s="33"/>
      <c r="D224" s="33"/>
      <c r="E224" s="33"/>
      <c r="F224" s="33"/>
      <c r="G224" s="33"/>
      <c r="H224" s="33"/>
      <c r="I224" s="33"/>
      <c r="J224" s="33"/>
      <c r="L224" s="33"/>
      <c r="M224" s="33"/>
      <c r="N224" s="33"/>
      <c r="O224" s="33"/>
      <c r="P224" s="33"/>
      <c r="Q224" s="33"/>
      <c r="R224" s="33"/>
      <c r="S224" s="33"/>
    </row>
    <row r="225" spans="1:19" ht="12.75" hidden="1" customHeight="1" x14ac:dyDescent="0.25">
      <c r="A225" s="33"/>
      <c r="B225" s="33"/>
      <c r="C225" s="33"/>
      <c r="D225" s="33"/>
      <c r="E225" s="33"/>
      <c r="F225" s="33"/>
      <c r="G225" s="33"/>
      <c r="H225" s="33"/>
      <c r="I225" s="33"/>
      <c r="J225" s="33"/>
      <c r="L225" s="33"/>
      <c r="M225" s="33"/>
      <c r="N225" s="33"/>
      <c r="O225" s="33"/>
      <c r="P225" s="33"/>
      <c r="Q225" s="33"/>
      <c r="R225" s="33"/>
      <c r="S225" s="33"/>
    </row>
    <row r="226" spans="1:19" ht="12.75" hidden="1" customHeight="1" x14ac:dyDescent="0.25">
      <c r="A226" s="33"/>
      <c r="B226" s="33"/>
      <c r="C226" s="33"/>
      <c r="D226" s="33"/>
      <c r="E226" s="33"/>
      <c r="F226" s="33"/>
      <c r="G226" s="33"/>
      <c r="H226" s="33"/>
      <c r="I226" s="33"/>
      <c r="J226" s="33"/>
      <c r="L226" s="33"/>
      <c r="M226" s="33"/>
      <c r="N226" s="33"/>
      <c r="O226" s="33"/>
      <c r="P226" s="33"/>
      <c r="Q226" s="33"/>
      <c r="R226" s="33"/>
      <c r="S226" s="33"/>
    </row>
    <row r="227" spans="1:19" ht="12.75" hidden="1" customHeight="1" x14ac:dyDescent="0.25">
      <c r="A227" s="33"/>
      <c r="B227" s="33"/>
      <c r="C227" s="33"/>
      <c r="D227" s="33"/>
      <c r="E227" s="33"/>
      <c r="F227" s="33"/>
      <c r="G227" s="33"/>
      <c r="H227" s="33"/>
      <c r="I227" s="33"/>
      <c r="J227" s="33"/>
      <c r="L227" s="33"/>
      <c r="M227" s="33"/>
      <c r="N227" s="33"/>
      <c r="O227" s="33"/>
      <c r="P227" s="33"/>
      <c r="Q227" s="33"/>
      <c r="R227" s="33"/>
      <c r="S227" s="33"/>
    </row>
    <row r="228" spans="1:19" ht="12.75" hidden="1" customHeight="1" x14ac:dyDescent="0.25">
      <c r="A228" s="33"/>
      <c r="B228" s="33"/>
      <c r="C228" s="33"/>
      <c r="D228" s="33"/>
      <c r="E228" s="33"/>
      <c r="F228" s="33"/>
      <c r="G228" s="33"/>
      <c r="H228" s="33"/>
      <c r="I228" s="33"/>
      <c r="J228" s="33"/>
      <c r="L228" s="33"/>
      <c r="M228" s="33"/>
      <c r="N228" s="33"/>
      <c r="O228" s="33"/>
      <c r="P228" s="33"/>
      <c r="Q228" s="33"/>
      <c r="R228" s="33"/>
      <c r="S228" s="33"/>
    </row>
    <row r="229" spans="1:19" ht="12.75" hidden="1" customHeight="1" x14ac:dyDescent="0.25">
      <c r="A229" s="33"/>
      <c r="B229" s="33"/>
      <c r="C229" s="33"/>
      <c r="D229" s="33"/>
      <c r="E229" s="33"/>
      <c r="F229" s="33"/>
      <c r="G229" s="33"/>
      <c r="H229" s="33"/>
      <c r="I229" s="33"/>
      <c r="J229" s="33"/>
      <c r="L229" s="33"/>
      <c r="M229" s="33"/>
      <c r="N229" s="33"/>
      <c r="O229" s="33"/>
      <c r="P229" s="33"/>
      <c r="Q229" s="33"/>
      <c r="R229" s="33"/>
      <c r="S229" s="33"/>
    </row>
    <row r="230" spans="1:19" ht="12.75" hidden="1" customHeight="1" x14ac:dyDescent="0.25">
      <c r="A230" s="33"/>
      <c r="B230" s="33"/>
      <c r="C230" s="33"/>
      <c r="D230" s="33"/>
      <c r="E230" s="33"/>
      <c r="F230" s="33"/>
      <c r="G230" s="33"/>
      <c r="H230" s="33"/>
      <c r="I230" s="33"/>
      <c r="J230" s="33"/>
      <c r="L230" s="33"/>
      <c r="M230" s="33"/>
      <c r="N230" s="33"/>
      <c r="O230" s="33"/>
      <c r="P230" s="33"/>
      <c r="Q230" s="33"/>
      <c r="R230" s="33"/>
      <c r="S230" s="33"/>
    </row>
    <row r="231" spans="1:19" ht="12.75" hidden="1" customHeight="1" x14ac:dyDescent="0.25">
      <c r="A231" s="33"/>
      <c r="B231" s="33"/>
      <c r="C231" s="33"/>
      <c r="D231" s="33"/>
      <c r="E231" s="33"/>
      <c r="F231" s="33"/>
      <c r="G231" s="33"/>
      <c r="H231" s="33"/>
      <c r="I231" s="33"/>
      <c r="J231" s="33"/>
      <c r="L231" s="33"/>
      <c r="M231" s="33"/>
      <c r="N231" s="33"/>
      <c r="O231" s="33"/>
      <c r="P231" s="33"/>
      <c r="Q231" s="33"/>
      <c r="R231" s="33"/>
      <c r="S231" s="33"/>
    </row>
    <row r="232" spans="1:19" ht="12.75" hidden="1" customHeight="1" x14ac:dyDescent="0.25">
      <c r="A232" s="33"/>
      <c r="B232" s="33"/>
      <c r="C232" s="33"/>
      <c r="D232" s="33"/>
      <c r="E232" s="33"/>
      <c r="F232" s="33"/>
      <c r="G232" s="33"/>
      <c r="H232" s="33"/>
      <c r="I232" s="33"/>
      <c r="J232" s="33"/>
      <c r="L232" s="33"/>
      <c r="M232" s="33"/>
      <c r="N232" s="33"/>
      <c r="O232" s="33"/>
      <c r="P232" s="33"/>
      <c r="Q232" s="33"/>
      <c r="R232" s="33"/>
      <c r="S232" s="33"/>
    </row>
    <row r="233" spans="1:19" ht="12.75" hidden="1" customHeight="1" x14ac:dyDescent="0.25">
      <c r="A233" s="33"/>
      <c r="B233" s="33"/>
      <c r="C233" s="33"/>
      <c r="D233" s="33"/>
      <c r="E233" s="33"/>
      <c r="F233" s="33"/>
      <c r="G233" s="33"/>
      <c r="H233" s="33"/>
      <c r="I233" s="33"/>
      <c r="J233" s="33"/>
      <c r="L233" s="33"/>
      <c r="M233" s="33"/>
      <c r="N233" s="33"/>
      <c r="O233" s="33"/>
      <c r="P233" s="33"/>
      <c r="Q233" s="33"/>
      <c r="R233" s="33"/>
      <c r="S233" s="33"/>
    </row>
    <row r="234" spans="1:19" ht="12.75" hidden="1" customHeight="1" x14ac:dyDescent="0.25">
      <c r="A234" s="33"/>
      <c r="B234" s="33"/>
      <c r="C234" s="33"/>
      <c r="D234" s="33"/>
      <c r="E234" s="33"/>
      <c r="F234" s="33"/>
      <c r="G234" s="33"/>
      <c r="H234" s="33"/>
      <c r="I234" s="33"/>
      <c r="J234" s="33"/>
      <c r="L234" s="33"/>
      <c r="M234" s="33"/>
      <c r="N234" s="33"/>
      <c r="O234" s="33"/>
      <c r="P234" s="33"/>
      <c r="Q234" s="33"/>
      <c r="R234" s="33"/>
      <c r="S234" s="33"/>
    </row>
    <row r="235" spans="1:19" ht="12.75" hidden="1" customHeight="1" x14ac:dyDescent="0.25">
      <c r="A235" s="33"/>
      <c r="B235" s="33"/>
      <c r="C235" s="33"/>
      <c r="D235" s="33"/>
      <c r="E235" s="33"/>
      <c r="F235" s="33"/>
      <c r="G235" s="33"/>
      <c r="H235" s="33"/>
      <c r="I235" s="33"/>
      <c r="J235" s="33"/>
      <c r="L235" s="33"/>
      <c r="M235" s="33"/>
      <c r="N235" s="33"/>
      <c r="O235" s="33"/>
      <c r="P235" s="33"/>
      <c r="Q235" s="33"/>
      <c r="R235" s="33"/>
      <c r="S235" s="33"/>
    </row>
    <row r="236" spans="1:19" ht="12.75" hidden="1" customHeight="1" x14ac:dyDescent="0.25">
      <c r="F236" s="33"/>
      <c r="G236" s="33"/>
      <c r="H236" s="33"/>
      <c r="I236" s="33"/>
      <c r="J236" s="33"/>
      <c r="L236" s="33"/>
      <c r="M236" s="33"/>
      <c r="N236" s="33"/>
      <c r="O236" s="33"/>
      <c r="P236" s="33"/>
      <c r="Q236" s="33"/>
      <c r="R236" s="33"/>
      <c r="S236" s="33"/>
    </row>
    <row r="237" spans="1:19" ht="12.75" hidden="1" customHeight="1" x14ac:dyDescent="0.25"/>
  </sheetData>
  <sheetProtection algorithmName="SHA-512" hashValue="qIuMzv3bgNSFjX25iD1ukJtAG57sw1HAy42CzuQpZYrU8lAEoIW9GnSfHNk820TlIfWIakkLHys+Db49YUBHCg==" saltValue="MVZjaEu3dmwCMtt0l3u6ZA==" spinCount="100000" sheet="1" objects="1" scenarios="1"/>
  <mergeCells count="83">
    <mergeCell ref="M33:M34"/>
    <mergeCell ref="A7:B7"/>
    <mergeCell ref="A8:B9"/>
    <mergeCell ref="I16:I17"/>
    <mergeCell ref="I18:I19"/>
    <mergeCell ref="F15:I15"/>
    <mergeCell ref="C17:C18"/>
    <mergeCell ref="A17:B18"/>
    <mergeCell ref="F6:G7"/>
    <mergeCell ref="H6:J7"/>
    <mergeCell ref="F8:G9"/>
    <mergeCell ref="H8:J9"/>
    <mergeCell ref="F16:F17"/>
    <mergeCell ref="G16:G17"/>
    <mergeCell ref="H16:H17"/>
    <mergeCell ref="A13:C16"/>
    <mergeCell ref="A1:J1"/>
    <mergeCell ref="A4:J4"/>
    <mergeCell ref="A5:C5"/>
    <mergeCell ref="F5:J5"/>
    <mergeCell ref="A6:C6"/>
    <mergeCell ref="Q9:R9"/>
    <mergeCell ref="A12:C12"/>
    <mergeCell ref="A11:C11"/>
    <mergeCell ref="F10:G11"/>
    <mergeCell ref="H10:J11"/>
    <mergeCell ref="F12:G13"/>
    <mergeCell ref="H12:J13"/>
    <mergeCell ref="A10:B10"/>
    <mergeCell ref="C8:C9"/>
    <mergeCell ref="G33:J33"/>
    <mergeCell ref="G39:G40"/>
    <mergeCell ref="H39:J40"/>
    <mergeCell ref="F31:J32"/>
    <mergeCell ref="H35:J35"/>
    <mergeCell ref="G36:J36"/>
    <mergeCell ref="H34:J34"/>
    <mergeCell ref="H37:J37"/>
    <mergeCell ref="H38:J38"/>
    <mergeCell ref="F34:F35"/>
    <mergeCell ref="F37:F38"/>
    <mergeCell ref="A28:D28"/>
    <mergeCell ref="F18:F19"/>
    <mergeCell ref="H18:H19"/>
    <mergeCell ref="C19:C22"/>
    <mergeCell ref="A32:D32"/>
    <mergeCell ref="A31:D31"/>
    <mergeCell ref="A30:J30"/>
    <mergeCell ref="A26:J26"/>
    <mergeCell ref="G18:G19"/>
    <mergeCell ref="A23:B23"/>
    <mergeCell ref="A19:B22"/>
    <mergeCell ref="I43:J43"/>
    <mergeCell ref="G42:H42"/>
    <mergeCell ref="G43:H43"/>
    <mergeCell ref="E42:E43"/>
    <mergeCell ref="F39:F40"/>
    <mergeCell ref="I42:J42"/>
    <mergeCell ref="A33:D33"/>
    <mergeCell ref="A34:D34"/>
    <mergeCell ref="A57:B57"/>
    <mergeCell ref="D46:E46"/>
    <mergeCell ref="D52:E52"/>
    <mergeCell ref="D53:E53"/>
    <mergeCell ref="A43:B43"/>
    <mergeCell ref="A42:B42"/>
    <mergeCell ref="A35:D35"/>
    <mergeCell ref="A37:D38"/>
    <mergeCell ref="F46:G46"/>
    <mergeCell ref="F47:G47"/>
    <mergeCell ref="F49:G49"/>
    <mergeCell ref="F50:G50"/>
    <mergeCell ref="F52:G52"/>
    <mergeCell ref="F53:G53"/>
    <mergeCell ref="D47:E47"/>
    <mergeCell ref="D49:E49"/>
    <mergeCell ref="D50:E50"/>
    <mergeCell ref="H53:I53"/>
    <mergeCell ref="H46:I46"/>
    <mergeCell ref="H47:I47"/>
    <mergeCell ref="H49:I49"/>
    <mergeCell ref="H50:I50"/>
    <mergeCell ref="H52:I52"/>
  </mergeCells>
  <phoneticPr fontId="5" type="noConversion"/>
  <conditionalFormatting sqref="D43">
    <cfRule type="cellIs" priority="5" operator="equal">
      <formula>$C$43</formula>
    </cfRule>
    <cfRule type="cellIs" dxfId="13" priority="6" operator="greaterThan">
      <formula>$C$43</formula>
    </cfRule>
    <cfRule type="cellIs" dxfId="12" priority="7" operator="lessThan">
      <formula>$C$43</formula>
    </cfRule>
  </conditionalFormatting>
  <conditionalFormatting sqref="A32:D32">
    <cfRule type="expression" dxfId="11" priority="4">
      <formula>$N$36&gt;1</formula>
    </cfRule>
  </conditionalFormatting>
  <conditionalFormatting sqref="A12:C18 A23:C23 A19 C19">
    <cfRule type="expression" dxfId="10" priority="2">
      <formula>$N$12="Not Used"</formula>
    </cfRule>
  </conditionalFormatting>
  <conditionalFormatting sqref="F5:J11">
    <cfRule type="expression" dxfId="9" priority="1">
      <formula>$N$12="Not Used"</formula>
    </cfRule>
  </conditionalFormatting>
  <dataValidations disablePrompts="1" count="3">
    <dataValidation type="list" allowBlank="1" showInputMessage="1" showErrorMessage="1" sqref="C8" xr:uid="{00000000-0002-0000-0500-000001000000}">
      <formula1>TempLossConstruction</formula1>
    </dataValidation>
    <dataValidation type="list" allowBlank="1" showInputMessage="1" showErrorMessage="1" sqref="C19" xr:uid="{00000000-0002-0000-0500-000002000000}">
      <formula1>TempLossMaturity</formula1>
    </dataValidation>
    <dataValidation type="whole" operator="greaterThanOrEqual" allowBlank="1" showInputMessage="1" showErrorMessage="1" error="Please enter a positive whole number." sqref="H8:J9" xr:uid="{37CD7FB8-1B43-4DA6-8933-7EA7624AEF6B}">
      <formula1>0</formula1>
    </dataValidation>
  </dataValidations>
  <printOptions horizontalCentered="1" verticalCentered="1"/>
  <pageMargins left="0.4" right="0.4" top="0.5" bottom="0.34" header="0.25" footer="0"/>
  <pageSetup scale="65" orientation="landscape" r:id="rId1"/>
  <headerFooter scaleWithDoc="0" alignWithMargins="0">
    <oddHeader>&amp;CStreams Parts III-VI
West Virginia Stream and Wetland Valuation Metric (SWVM) 7-30-24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6" r:id="rId4" name="Check Box 32">
              <controlPr defaultSize="0" autoFill="0" autoLine="0" autoPict="0">
                <anchor moveWithCells="1">
                  <from>
                    <xdr:col>0</xdr:col>
                    <xdr:colOff>83820</xdr:colOff>
                    <xdr:row>32</xdr:row>
                    <xdr:rowOff>60960</xdr:rowOff>
                  </from>
                  <to>
                    <xdr:col>0</xdr:col>
                    <xdr:colOff>861060</xdr:colOff>
                    <xdr:row>32</xdr:row>
                    <xdr:rowOff>274320</xdr:rowOff>
                  </to>
                </anchor>
              </controlPr>
            </control>
          </mc:Choice>
        </mc:AlternateContent>
        <mc:AlternateContent xmlns:mc="http://schemas.openxmlformats.org/markup-compatibility/2006">
          <mc:Choice Requires="x14">
            <control shapeId="16417" r:id="rId5" name="Check Box 33">
              <controlPr defaultSize="0" autoFill="0" autoLine="0" autoPict="0">
                <anchor moveWithCells="1">
                  <from>
                    <xdr:col>0</xdr:col>
                    <xdr:colOff>83820</xdr:colOff>
                    <xdr:row>33</xdr:row>
                    <xdr:rowOff>60960</xdr:rowOff>
                  </from>
                  <to>
                    <xdr:col>0</xdr:col>
                    <xdr:colOff>861060</xdr:colOff>
                    <xdr:row>33</xdr:row>
                    <xdr:rowOff>274320</xdr:rowOff>
                  </to>
                </anchor>
              </controlPr>
            </control>
          </mc:Choice>
        </mc:AlternateContent>
        <mc:AlternateContent xmlns:mc="http://schemas.openxmlformats.org/markup-compatibility/2006">
          <mc:Choice Requires="x14">
            <control shapeId="16418" r:id="rId6" name="Check Box 34">
              <controlPr defaultSize="0" autoFill="0" autoLine="0" autoPict="0">
                <anchor moveWithCells="1">
                  <from>
                    <xdr:col>0</xdr:col>
                    <xdr:colOff>83820</xdr:colOff>
                    <xdr:row>34</xdr:row>
                    <xdr:rowOff>60960</xdr:rowOff>
                  </from>
                  <to>
                    <xdr:col>0</xdr:col>
                    <xdr:colOff>861060</xdr:colOff>
                    <xdr:row>34</xdr:row>
                    <xdr:rowOff>274320</xdr:rowOff>
                  </to>
                </anchor>
              </controlPr>
            </control>
          </mc:Choice>
        </mc:AlternateContent>
        <mc:AlternateContent xmlns:mc="http://schemas.openxmlformats.org/markup-compatibility/2006">
          <mc:Choice Requires="x14">
            <control shapeId="16421" r:id="rId7" name="Check Box 37">
              <controlPr defaultSize="0" autoFill="0" autoLine="0" autoPict="0">
                <anchor moveWithCells="1">
                  <from>
                    <xdr:col>0</xdr:col>
                    <xdr:colOff>106680</xdr:colOff>
                    <xdr:row>36</xdr:row>
                    <xdr:rowOff>182880</xdr:rowOff>
                  </from>
                  <to>
                    <xdr:col>0</xdr:col>
                    <xdr:colOff>556260</xdr:colOff>
                    <xdr:row>37</xdr:row>
                    <xdr:rowOff>121920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3CCA7F17-60DA-4CB7-A412-CBA090BA8E45}">
            <xm:f>'Stream Parts I-II'!$G$4&lt;&gt;"RESTORATION (Levels I-III)"</xm:f>
            <x14:dxf>
              <font>
                <color theme="0" tint="-0.499984740745262"/>
              </font>
              <fill>
                <patternFill>
                  <bgColor theme="0" tint="-0.24994659260841701"/>
                </patternFill>
              </fill>
            </x14:dxf>
          </x14:cfRule>
          <xm:sqref>A31:D35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1AAF9266-9430-4AFE-9E3F-EAB4FDD15EAB}">
          <x14:formula1>
            <xm:f>'Lists and Arrays'!$V$4:$V$8</xm:f>
          </x14:formula1>
          <xm:sqref>H34:J35 H37:J38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FC84"/>
  <sheetViews>
    <sheetView workbookViewId="0"/>
  </sheetViews>
  <sheetFormatPr defaultColWidth="0" defaultRowHeight="13.2" zeroHeight="1" x14ac:dyDescent="0.25"/>
  <cols>
    <col min="1" max="1" width="1.88671875" style="38" customWidth="1"/>
    <col min="2" max="2" width="10.5546875" style="7" bestFit="1" customWidth="1"/>
    <col min="3" max="3" width="24.88671875" style="7" customWidth="1"/>
    <col min="4" max="4" width="13" style="8" customWidth="1"/>
    <col min="5" max="5" width="12.6640625" style="8" bestFit="1" customWidth="1"/>
    <col min="6" max="6" width="12.6640625" bestFit="1" customWidth="1"/>
    <col min="7" max="7" width="18.44140625" customWidth="1"/>
    <col min="8" max="8" width="1.109375" customWidth="1"/>
    <col min="9" max="9" width="8.88671875" hidden="1" customWidth="1"/>
    <col min="10" max="18" width="0" hidden="1" customWidth="1"/>
    <col min="19" max="16383" width="9.109375" hidden="1"/>
    <col min="16384" max="16384" width="0.109375" hidden="1" customWidth="1"/>
  </cols>
  <sheetData>
    <row r="1" spans="2:18" ht="13.8" thickBot="1" x14ac:dyDescent="0.3">
      <c r="B1" s="352"/>
      <c r="C1" s="352"/>
      <c r="D1" s="353"/>
      <c r="E1" s="353"/>
      <c r="F1" s="38"/>
      <c r="G1" s="38"/>
      <c r="H1" s="38"/>
    </row>
    <row r="2" spans="2:18" ht="22.5" customHeight="1" thickBot="1" x14ac:dyDescent="0.35">
      <c r="B2" s="1188" t="s">
        <v>69</v>
      </c>
      <c r="C2" s="1189"/>
      <c r="D2" s="1189"/>
      <c r="E2" s="1189"/>
      <c r="F2" s="1189"/>
      <c r="G2" s="1190"/>
      <c r="H2" s="34"/>
      <c r="I2" s="14"/>
      <c r="J2" s="14"/>
      <c r="K2" s="14"/>
      <c r="L2" s="14"/>
      <c r="M2" s="14"/>
      <c r="N2" s="14"/>
      <c r="O2" s="14"/>
      <c r="P2" s="14"/>
      <c r="Q2" s="14"/>
      <c r="R2" s="14"/>
    </row>
    <row r="3" spans="2:18" ht="57" customHeight="1" x14ac:dyDescent="0.25">
      <c r="B3" s="1193" t="s">
        <v>63</v>
      </c>
      <c r="C3" s="1194"/>
      <c r="D3" s="354" t="s">
        <v>64</v>
      </c>
      <c r="E3" s="354" t="s">
        <v>65</v>
      </c>
      <c r="F3" s="355" t="s">
        <v>66</v>
      </c>
      <c r="G3" s="356" t="s">
        <v>67</v>
      </c>
      <c r="H3" s="34"/>
      <c r="I3" s="14"/>
      <c r="J3" s="14"/>
      <c r="K3" s="14"/>
      <c r="L3" s="14"/>
      <c r="M3" s="14"/>
      <c r="N3" s="14"/>
      <c r="O3" s="14"/>
      <c r="P3" s="14"/>
      <c r="Q3" s="14"/>
      <c r="R3" s="14"/>
    </row>
    <row r="4" spans="2:18" ht="15.6" x14ac:dyDescent="0.25">
      <c r="B4" s="1191"/>
      <c r="C4" s="1192"/>
      <c r="D4" s="357"/>
      <c r="E4" s="358"/>
      <c r="F4" s="370">
        <f>IF(E4&lt;0,D4+E4,E4-D4)</f>
        <v>0</v>
      </c>
      <c r="G4" s="371">
        <f>F4</f>
        <v>0</v>
      </c>
      <c r="H4" s="34"/>
      <c r="I4" s="27"/>
      <c r="J4" s="14"/>
      <c r="K4" s="14"/>
      <c r="L4" s="14"/>
      <c r="M4" s="14"/>
      <c r="N4" s="14"/>
      <c r="O4" s="14"/>
      <c r="P4" s="14"/>
      <c r="Q4" s="14"/>
      <c r="R4" s="14"/>
    </row>
    <row r="5" spans="2:18" x14ac:dyDescent="0.25">
      <c r="B5" s="1191"/>
      <c r="C5" s="1192"/>
      <c r="D5" s="359"/>
      <c r="E5" s="360"/>
      <c r="F5" s="372">
        <f t="shared" ref="F5:F49" si="0">IF(E5&lt;0,D5+E5,E5-D5)</f>
        <v>0</v>
      </c>
      <c r="G5" s="371">
        <f>G4+F5</f>
        <v>0</v>
      </c>
      <c r="H5" s="34"/>
      <c r="I5" s="14"/>
      <c r="J5" s="14"/>
      <c r="K5" s="14"/>
      <c r="L5" s="14"/>
      <c r="M5" s="14"/>
      <c r="N5" s="14"/>
      <c r="O5" s="14"/>
      <c r="P5" s="14"/>
      <c r="Q5" s="14"/>
      <c r="R5" s="14"/>
    </row>
    <row r="6" spans="2:18" x14ac:dyDescent="0.25">
      <c r="B6" s="1182"/>
      <c r="C6" s="1183"/>
      <c r="D6" s="361"/>
      <c r="E6" s="361"/>
      <c r="F6" s="370">
        <f t="shared" si="0"/>
        <v>0</v>
      </c>
      <c r="G6" s="371">
        <f t="shared" ref="G6:G48" si="1">G5+F6</f>
        <v>0</v>
      </c>
      <c r="H6" s="34"/>
      <c r="I6" s="14"/>
      <c r="J6" s="14"/>
      <c r="K6" s="14"/>
      <c r="L6" s="14"/>
      <c r="M6" s="14"/>
      <c r="N6" s="14"/>
      <c r="O6" s="14"/>
      <c r="P6" s="14"/>
      <c r="Q6" s="14"/>
      <c r="R6" s="14"/>
    </row>
    <row r="7" spans="2:18" x14ac:dyDescent="0.25">
      <c r="B7" s="1182"/>
      <c r="C7" s="1183"/>
      <c r="D7" s="362"/>
      <c r="E7" s="363"/>
      <c r="F7" s="370">
        <f t="shared" si="0"/>
        <v>0</v>
      </c>
      <c r="G7" s="371">
        <f t="shared" si="1"/>
        <v>0</v>
      </c>
      <c r="H7" s="34"/>
      <c r="I7" s="14"/>
      <c r="J7" s="14"/>
      <c r="K7" s="14"/>
      <c r="L7" s="14"/>
      <c r="M7" s="14"/>
      <c r="N7" s="14"/>
      <c r="O7" s="14"/>
      <c r="P7" s="14"/>
      <c r="Q7" s="14"/>
      <c r="R7" s="14"/>
    </row>
    <row r="8" spans="2:18" x14ac:dyDescent="0.25">
      <c r="B8" s="1182"/>
      <c r="C8" s="1183"/>
      <c r="D8" s="363"/>
      <c r="E8" s="364"/>
      <c r="F8" s="370">
        <f t="shared" si="0"/>
        <v>0</v>
      </c>
      <c r="G8" s="371">
        <f t="shared" si="1"/>
        <v>0</v>
      </c>
      <c r="H8" s="34"/>
      <c r="I8" s="14"/>
      <c r="J8" s="14"/>
      <c r="K8" s="14"/>
      <c r="L8" s="14"/>
      <c r="M8" s="14"/>
      <c r="N8" s="14"/>
      <c r="O8" s="14"/>
      <c r="P8" s="14"/>
      <c r="Q8" s="14"/>
      <c r="R8" s="14"/>
    </row>
    <row r="9" spans="2:18" x14ac:dyDescent="0.25">
      <c r="B9" s="1182"/>
      <c r="C9" s="1183"/>
      <c r="D9" s="363"/>
      <c r="E9" s="363"/>
      <c r="F9" s="370">
        <f t="shared" si="0"/>
        <v>0</v>
      </c>
      <c r="G9" s="371">
        <f t="shared" si="1"/>
        <v>0</v>
      </c>
      <c r="H9" s="34"/>
      <c r="I9" s="14"/>
      <c r="J9" s="14"/>
      <c r="K9" s="14"/>
      <c r="L9" s="14"/>
      <c r="M9" s="14"/>
      <c r="N9" s="14"/>
      <c r="O9" s="14"/>
      <c r="P9" s="14"/>
      <c r="Q9" s="14"/>
      <c r="R9" s="14"/>
    </row>
    <row r="10" spans="2:18" x14ac:dyDescent="0.25">
      <c r="B10" s="1182"/>
      <c r="C10" s="1183"/>
      <c r="D10" s="363"/>
      <c r="E10" s="363"/>
      <c r="F10" s="370">
        <f t="shared" si="0"/>
        <v>0</v>
      </c>
      <c r="G10" s="371">
        <f t="shared" si="1"/>
        <v>0</v>
      </c>
      <c r="H10" s="34"/>
      <c r="I10" s="14"/>
      <c r="J10" s="14"/>
      <c r="K10" s="14"/>
      <c r="L10" s="14"/>
      <c r="M10" s="14"/>
      <c r="N10" s="14"/>
      <c r="O10" s="14"/>
      <c r="P10" s="14"/>
      <c r="Q10" s="14"/>
      <c r="R10" s="14"/>
    </row>
    <row r="11" spans="2:18" x14ac:dyDescent="0.25">
      <c r="B11" s="1182"/>
      <c r="C11" s="1183"/>
      <c r="D11" s="363"/>
      <c r="E11" s="363"/>
      <c r="F11" s="370">
        <f t="shared" si="0"/>
        <v>0</v>
      </c>
      <c r="G11" s="371">
        <f t="shared" si="1"/>
        <v>0</v>
      </c>
      <c r="H11" s="34"/>
      <c r="I11" s="14"/>
      <c r="J11" s="14"/>
      <c r="K11" s="14"/>
      <c r="L11" s="14"/>
      <c r="M11" s="14"/>
      <c r="N11" s="14"/>
      <c r="O11" s="14"/>
      <c r="P11" s="14"/>
      <c r="Q11" s="14"/>
      <c r="R11" s="14"/>
    </row>
    <row r="12" spans="2:18" x14ac:dyDescent="0.25">
      <c r="B12" s="1182"/>
      <c r="C12" s="1183"/>
      <c r="D12" s="363"/>
      <c r="E12" s="364"/>
      <c r="F12" s="370">
        <f t="shared" si="0"/>
        <v>0</v>
      </c>
      <c r="G12" s="371">
        <f t="shared" si="1"/>
        <v>0</v>
      </c>
      <c r="H12" s="34"/>
      <c r="I12" s="14"/>
      <c r="J12" s="14"/>
      <c r="K12" s="14"/>
      <c r="L12" s="14"/>
      <c r="M12" s="14"/>
      <c r="N12" s="14"/>
      <c r="O12" s="14"/>
      <c r="P12" s="14"/>
      <c r="Q12" s="14"/>
      <c r="R12" s="14"/>
    </row>
    <row r="13" spans="2:18" x14ac:dyDescent="0.25">
      <c r="B13" s="1182"/>
      <c r="C13" s="1183"/>
      <c r="D13" s="363"/>
      <c r="E13" s="363"/>
      <c r="F13" s="370">
        <f t="shared" si="0"/>
        <v>0</v>
      </c>
      <c r="G13" s="371">
        <f t="shared" si="1"/>
        <v>0</v>
      </c>
      <c r="H13" s="34"/>
      <c r="I13" s="14"/>
      <c r="J13" s="14"/>
      <c r="K13" s="14"/>
      <c r="L13" s="14"/>
      <c r="M13" s="14"/>
      <c r="N13" s="14"/>
      <c r="O13" s="14"/>
      <c r="P13" s="14"/>
      <c r="Q13" s="14"/>
      <c r="R13" s="14"/>
    </row>
    <row r="14" spans="2:18" x14ac:dyDescent="0.25">
      <c r="B14" s="1182"/>
      <c r="C14" s="1183"/>
      <c r="D14" s="363"/>
      <c r="E14" s="363"/>
      <c r="F14" s="370">
        <f t="shared" si="0"/>
        <v>0</v>
      </c>
      <c r="G14" s="371">
        <f t="shared" si="1"/>
        <v>0</v>
      </c>
      <c r="H14" s="34"/>
      <c r="I14" s="14"/>
      <c r="J14" s="14"/>
      <c r="K14" s="14"/>
      <c r="L14" s="14"/>
      <c r="M14" s="14"/>
      <c r="N14" s="14"/>
      <c r="O14" s="14"/>
      <c r="P14" s="14"/>
      <c r="Q14" s="14"/>
      <c r="R14" s="14"/>
    </row>
    <row r="15" spans="2:18" x14ac:dyDescent="0.25">
      <c r="B15" s="1182"/>
      <c r="C15" s="1183"/>
      <c r="D15" s="363"/>
      <c r="E15" s="364"/>
      <c r="F15" s="370">
        <f t="shared" si="0"/>
        <v>0</v>
      </c>
      <c r="G15" s="371">
        <f t="shared" si="1"/>
        <v>0</v>
      </c>
      <c r="H15" s="34"/>
      <c r="I15" s="14"/>
      <c r="J15" s="14"/>
      <c r="K15" s="14"/>
      <c r="L15" s="14"/>
      <c r="M15" s="14"/>
      <c r="N15" s="14"/>
      <c r="O15" s="14"/>
      <c r="P15" s="14"/>
      <c r="Q15" s="14"/>
      <c r="R15" s="14"/>
    </row>
    <row r="16" spans="2:18" x14ac:dyDescent="0.25">
      <c r="B16" s="1182"/>
      <c r="C16" s="1183"/>
      <c r="D16" s="363"/>
      <c r="E16" s="363"/>
      <c r="F16" s="370">
        <f t="shared" si="0"/>
        <v>0</v>
      </c>
      <c r="G16" s="371">
        <f t="shared" si="1"/>
        <v>0</v>
      </c>
      <c r="H16" s="34"/>
      <c r="I16" s="14"/>
      <c r="J16" s="14"/>
      <c r="K16" s="14"/>
      <c r="L16" s="14"/>
      <c r="M16" s="14"/>
      <c r="N16" s="14"/>
      <c r="O16" s="14"/>
      <c r="P16" s="14"/>
      <c r="Q16" s="14"/>
      <c r="R16" s="14"/>
    </row>
    <row r="17" spans="2:18" x14ac:dyDescent="0.25">
      <c r="B17" s="1182"/>
      <c r="C17" s="1183"/>
      <c r="D17" s="363"/>
      <c r="E17" s="363"/>
      <c r="F17" s="370">
        <f t="shared" si="0"/>
        <v>0</v>
      </c>
      <c r="G17" s="371">
        <f t="shared" si="1"/>
        <v>0</v>
      </c>
      <c r="H17" s="34"/>
      <c r="I17" s="14"/>
      <c r="J17" s="14"/>
      <c r="K17" s="14"/>
      <c r="L17" s="14"/>
      <c r="M17" s="14"/>
      <c r="N17" s="14"/>
      <c r="O17" s="14"/>
      <c r="P17" s="14"/>
      <c r="Q17" s="14"/>
      <c r="R17" s="14"/>
    </row>
    <row r="18" spans="2:18" x14ac:dyDescent="0.25">
      <c r="B18" s="1182"/>
      <c r="C18" s="1183"/>
      <c r="D18" s="363"/>
      <c r="E18" s="363"/>
      <c r="F18" s="370">
        <f t="shared" si="0"/>
        <v>0</v>
      </c>
      <c r="G18" s="371">
        <f t="shared" si="1"/>
        <v>0</v>
      </c>
      <c r="H18" s="34"/>
      <c r="I18" s="14"/>
      <c r="J18" s="14"/>
      <c r="K18" s="14"/>
      <c r="L18" s="14"/>
      <c r="M18" s="14"/>
      <c r="N18" s="14"/>
      <c r="O18" s="14"/>
      <c r="P18" s="14"/>
      <c r="Q18" s="14"/>
      <c r="R18" s="14"/>
    </row>
    <row r="19" spans="2:18" x14ac:dyDescent="0.25">
      <c r="B19" s="1182"/>
      <c r="C19" s="1183"/>
      <c r="D19" s="363"/>
      <c r="E19" s="363"/>
      <c r="F19" s="370">
        <f t="shared" si="0"/>
        <v>0</v>
      </c>
      <c r="G19" s="371">
        <f t="shared" si="1"/>
        <v>0</v>
      </c>
      <c r="H19" s="34"/>
      <c r="I19" s="14"/>
      <c r="J19" s="14"/>
      <c r="K19" s="14"/>
      <c r="L19" s="14"/>
      <c r="M19" s="14"/>
      <c r="N19" s="14"/>
      <c r="O19" s="14"/>
      <c r="P19" s="14"/>
      <c r="Q19" s="14"/>
      <c r="R19" s="14"/>
    </row>
    <row r="20" spans="2:18" x14ac:dyDescent="0.25">
      <c r="B20" s="1182"/>
      <c r="C20" s="1183"/>
      <c r="D20" s="362"/>
      <c r="E20" s="364"/>
      <c r="F20" s="370">
        <f t="shared" si="0"/>
        <v>0</v>
      </c>
      <c r="G20" s="371">
        <f t="shared" si="1"/>
        <v>0</v>
      </c>
      <c r="H20" s="34"/>
      <c r="I20" s="14"/>
      <c r="J20" s="14"/>
      <c r="K20" s="14"/>
      <c r="L20" s="14"/>
      <c r="M20" s="14"/>
      <c r="N20" s="14"/>
      <c r="O20" s="14"/>
      <c r="P20" s="14"/>
      <c r="Q20" s="14"/>
      <c r="R20" s="14"/>
    </row>
    <row r="21" spans="2:18" x14ac:dyDescent="0.25">
      <c r="B21" s="1182"/>
      <c r="C21" s="1183"/>
      <c r="D21" s="363"/>
      <c r="E21" s="363"/>
      <c r="F21" s="370">
        <f t="shared" si="0"/>
        <v>0</v>
      </c>
      <c r="G21" s="371">
        <f t="shared" si="1"/>
        <v>0</v>
      </c>
      <c r="H21" s="34"/>
      <c r="I21" s="14"/>
      <c r="J21" s="14"/>
      <c r="K21" s="14"/>
      <c r="L21" s="14"/>
      <c r="M21" s="14"/>
      <c r="N21" s="14"/>
      <c r="O21" s="14"/>
      <c r="P21" s="14"/>
      <c r="Q21" s="14"/>
      <c r="R21" s="14"/>
    </row>
    <row r="22" spans="2:18" x14ac:dyDescent="0.25">
      <c r="B22" s="1182"/>
      <c r="C22" s="1183"/>
      <c r="D22" s="363"/>
      <c r="E22" s="363"/>
      <c r="F22" s="370">
        <f t="shared" si="0"/>
        <v>0</v>
      </c>
      <c r="G22" s="371">
        <f t="shared" si="1"/>
        <v>0</v>
      </c>
      <c r="H22" s="34"/>
      <c r="I22" s="14"/>
      <c r="J22" s="14"/>
      <c r="K22" s="14"/>
      <c r="L22" s="14"/>
      <c r="M22" s="14"/>
      <c r="N22" s="14"/>
      <c r="O22" s="14"/>
      <c r="P22" s="14"/>
      <c r="Q22" s="14"/>
      <c r="R22" s="14"/>
    </row>
    <row r="23" spans="2:18" x14ac:dyDescent="0.25">
      <c r="B23" s="1182"/>
      <c r="C23" s="1183"/>
      <c r="D23" s="363"/>
      <c r="E23" s="364"/>
      <c r="F23" s="370">
        <f t="shared" si="0"/>
        <v>0</v>
      </c>
      <c r="G23" s="371">
        <f t="shared" si="1"/>
        <v>0</v>
      </c>
      <c r="H23" s="34"/>
      <c r="I23" s="14"/>
      <c r="J23" s="14"/>
      <c r="K23" s="14"/>
      <c r="L23" s="14"/>
      <c r="M23" s="14"/>
      <c r="N23" s="14"/>
      <c r="O23" s="14"/>
      <c r="P23" s="14"/>
      <c r="Q23" s="14"/>
      <c r="R23" s="14"/>
    </row>
    <row r="24" spans="2:18" x14ac:dyDescent="0.25">
      <c r="B24" s="1182"/>
      <c r="C24" s="1183"/>
      <c r="D24" s="363"/>
      <c r="E24" s="363"/>
      <c r="F24" s="370">
        <f t="shared" si="0"/>
        <v>0</v>
      </c>
      <c r="G24" s="371">
        <f>G23+F24</f>
        <v>0</v>
      </c>
      <c r="H24" s="34"/>
      <c r="I24" s="14"/>
      <c r="J24" s="14"/>
      <c r="K24" s="14"/>
      <c r="L24" s="14"/>
      <c r="M24" s="14"/>
      <c r="N24" s="14"/>
      <c r="O24" s="14"/>
      <c r="P24" s="14"/>
      <c r="Q24" s="14"/>
      <c r="R24" s="14"/>
    </row>
    <row r="25" spans="2:18" x14ac:dyDescent="0.25">
      <c r="B25" s="1182"/>
      <c r="C25" s="1183"/>
      <c r="D25" s="363"/>
      <c r="E25" s="364"/>
      <c r="F25" s="370">
        <f t="shared" si="0"/>
        <v>0</v>
      </c>
      <c r="G25" s="371">
        <f t="shared" si="1"/>
        <v>0</v>
      </c>
      <c r="H25" s="34"/>
      <c r="I25" s="14"/>
      <c r="J25" s="14"/>
      <c r="K25" s="14"/>
      <c r="L25" s="14"/>
      <c r="M25" s="14"/>
      <c r="N25" s="14"/>
      <c r="O25" s="14"/>
      <c r="P25" s="14"/>
      <c r="Q25" s="14"/>
      <c r="R25" s="14"/>
    </row>
    <row r="26" spans="2:18" x14ac:dyDescent="0.25">
      <c r="B26" s="1182"/>
      <c r="C26" s="1183"/>
      <c r="D26" s="363"/>
      <c r="E26" s="364"/>
      <c r="F26" s="370">
        <f t="shared" si="0"/>
        <v>0</v>
      </c>
      <c r="G26" s="371">
        <f t="shared" si="1"/>
        <v>0</v>
      </c>
      <c r="H26" s="34"/>
      <c r="I26" s="14"/>
      <c r="J26" s="14"/>
      <c r="K26" s="14"/>
      <c r="L26" s="14"/>
      <c r="M26" s="14"/>
      <c r="N26" s="14"/>
      <c r="O26" s="14"/>
      <c r="P26" s="14"/>
      <c r="Q26" s="14"/>
      <c r="R26" s="14"/>
    </row>
    <row r="27" spans="2:18" x14ac:dyDescent="0.25">
      <c r="B27" s="1182"/>
      <c r="C27" s="1183"/>
      <c r="D27" s="363"/>
      <c r="E27" s="364"/>
      <c r="F27" s="370">
        <f t="shared" si="0"/>
        <v>0</v>
      </c>
      <c r="G27" s="371">
        <f t="shared" si="1"/>
        <v>0</v>
      </c>
      <c r="H27" s="34"/>
      <c r="I27" s="14"/>
      <c r="J27" s="14"/>
      <c r="K27" s="14"/>
      <c r="L27" s="14"/>
      <c r="M27" s="14"/>
      <c r="N27" s="14"/>
      <c r="O27" s="14"/>
      <c r="P27" s="14"/>
      <c r="Q27" s="14"/>
      <c r="R27" s="14"/>
    </row>
    <row r="28" spans="2:18" x14ac:dyDescent="0.25">
      <c r="B28" s="1182"/>
      <c r="C28" s="1183"/>
      <c r="D28" s="363"/>
      <c r="E28" s="364"/>
      <c r="F28" s="370">
        <f t="shared" si="0"/>
        <v>0</v>
      </c>
      <c r="G28" s="371">
        <f t="shared" si="1"/>
        <v>0</v>
      </c>
      <c r="H28" s="34"/>
      <c r="I28" s="14"/>
      <c r="J28" s="14"/>
      <c r="K28" s="14"/>
      <c r="L28" s="14"/>
      <c r="M28" s="14"/>
      <c r="N28" s="14"/>
      <c r="O28" s="14"/>
      <c r="P28" s="14"/>
      <c r="Q28" s="14"/>
      <c r="R28" s="14"/>
    </row>
    <row r="29" spans="2:18" x14ac:dyDescent="0.25">
      <c r="B29" s="1182"/>
      <c r="C29" s="1183"/>
      <c r="D29" s="363"/>
      <c r="E29" s="364"/>
      <c r="F29" s="370">
        <f t="shared" si="0"/>
        <v>0</v>
      </c>
      <c r="G29" s="371">
        <f t="shared" si="1"/>
        <v>0</v>
      </c>
      <c r="H29" s="34"/>
      <c r="I29" s="14"/>
      <c r="J29" s="14"/>
      <c r="K29" s="14"/>
      <c r="L29" s="14"/>
      <c r="M29" s="14"/>
      <c r="N29" s="14"/>
      <c r="O29" s="14"/>
      <c r="P29" s="14"/>
      <c r="Q29" s="14"/>
      <c r="R29" s="14"/>
    </row>
    <row r="30" spans="2:18" x14ac:dyDescent="0.25">
      <c r="B30" s="1182"/>
      <c r="C30" s="1183"/>
      <c r="D30" s="365"/>
      <c r="E30" s="366"/>
      <c r="F30" s="370">
        <f t="shared" si="0"/>
        <v>0</v>
      </c>
      <c r="G30" s="371">
        <f t="shared" si="1"/>
        <v>0</v>
      </c>
      <c r="H30" s="34"/>
      <c r="I30" s="14"/>
      <c r="J30" s="14"/>
      <c r="K30" s="14"/>
      <c r="L30" s="14"/>
      <c r="M30" s="14"/>
      <c r="N30" s="14"/>
      <c r="O30" s="14"/>
      <c r="P30" s="14"/>
      <c r="Q30" s="14"/>
      <c r="R30" s="14"/>
    </row>
    <row r="31" spans="2:18" x14ac:dyDescent="0.25">
      <c r="B31" s="1182"/>
      <c r="C31" s="1183"/>
      <c r="D31" s="365"/>
      <c r="E31" s="367"/>
      <c r="F31" s="370">
        <f t="shared" si="0"/>
        <v>0</v>
      </c>
      <c r="G31" s="371">
        <f t="shared" si="1"/>
        <v>0</v>
      </c>
      <c r="H31" s="34"/>
      <c r="I31" s="14"/>
      <c r="J31" s="14"/>
      <c r="K31" s="14"/>
      <c r="L31" s="14"/>
      <c r="M31" s="14"/>
      <c r="N31" s="14"/>
      <c r="O31" s="14"/>
      <c r="P31" s="14"/>
      <c r="Q31" s="14"/>
      <c r="R31" s="14"/>
    </row>
    <row r="32" spans="2:18" x14ac:dyDescent="0.25">
      <c r="B32" s="1182"/>
      <c r="C32" s="1183"/>
      <c r="D32" s="365"/>
      <c r="E32" s="367"/>
      <c r="F32" s="370">
        <f t="shared" si="0"/>
        <v>0</v>
      </c>
      <c r="G32" s="371">
        <f t="shared" si="1"/>
        <v>0</v>
      </c>
      <c r="H32" s="34"/>
      <c r="I32" s="14"/>
      <c r="J32" s="14"/>
      <c r="K32" s="14"/>
      <c r="L32" s="14"/>
      <c r="M32" s="14"/>
      <c r="N32" s="14"/>
      <c r="O32" s="14"/>
      <c r="P32" s="14"/>
      <c r="Q32" s="14"/>
      <c r="R32" s="14"/>
    </row>
    <row r="33" spans="2:18" x14ac:dyDescent="0.25">
      <c r="B33" s="1182"/>
      <c r="C33" s="1183"/>
      <c r="D33" s="365"/>
      <c r="E33" s="367"/>
      <c r="F33" s="370">
        <f t="shared" si="0"/>
        <v>0</v>
      </c>
      <c r="G33" s="371">
        <f t="shared" si="1"/>
        <v>0</v>
      </c>
      <c r="H33" s="34"/>
      <c r="I33" s="14"/>
      <c r="J33" s="14"/>
      <c r="K33" s="14"/>
      <c r="L33" s="14"/>
      <c r="M33" s="14"/>
      <c r="N33" s="14"/>
      <c r="O33" s="14"/>
      <c r="P33" s="14"/>
      <c r="Q33" s="14"/>
      <c r="R33" s="14"/>
    </row>
    <row r="34" spans="2:18" x14ac:dyDescent="0.25">
      <c r="B34" s="1182"/>
      <c r="C34" s="1183"/>
      <c r="D34" s="365"/>
      <c r="E34" s="367"/>
      <c r="F34" s="370">
        <f t="shared" si="0"/>
        <v>0</v>
      </c>
      <c r="G34" s="371">
        <f t="shared" si="1"/>
        <v>0</v>
      </c>
      <c r="H34" s="34"/>
      <c r="I34" s="14"/>
      <c r="J34" s="14"/>
      <c r="K34" s="14"/>
      <c r="L34" s="14"/>
      <c r="M34" s="14"/>
      <c r="N34" s="14"/>
      <c r="O34" s="14"/>
      <c r="P34" s="14"/>
      <c r="Q34" s="14"/>
      <c r="R34" s="14"/>
    </row>
    <row r="35" spans="2:18" x14ac:dyDescent="0.25">
      <c r="B35" s="1182"/>
      <c r="C35" s="1183"/>
      <c r="D35" s="365"/>
      <c r="E35" s="367"/>
      <c r="F35" s="370">
        <f t="shared" si="0"/>
        <v>0</v>
      </c>
      <c r="G35" s="371">
        <f t="shared" si="1"/>
        <v>0</v>
      </c>
      <c r="H35" s="34"/>
      <c r="I35" s="14"/>
      <c r="J35" s="14"/>
      <c r="K35" s="14"/>
      <c r="L35" s="14"/>
      <c r="M35" s="14"/>
      <c r="N35" s="14"/>
      <c r="O35" s="14"/>
      <c r="P35" s="14"/>
      <c r="Q35" s="14"/>
      <c r="R35" s="14"/>
    </row>
    <row r="36" spans="2:18" x14ac:dyDescent="0.25">
      <c r="B36" s="1182"/>
      <c r="C36" s="1183"/>
      <c r="D36" s="365"/>
      <c r="E36" s="366"/>
      <c r="F36" s="370">
        <f t="shared" si="0"/>
        <v>0</v>
      </c>
      <c r="G36" s="371">
        <f t="shared" si="1"/>
        <v>0</v>
      </c>
      <c r="H36" s="34"/>
      <c r="I36" s="14"/>
      <c r="J36" s="14"/>
      <c r="K36" s="14"/>
      <c r="L36" s="14"/>
      <c r="M36" s="14"/>
      <c r="N36" s="14"/>
      <c r="O36" s="14"/>
      <c r="P36" s="14"/>
      <c r="Q36" s="14"/>
      <c r="R36" s="14"/>
    </row>
    <row r="37" spans="2:18" x14ac:dyDescent="0.25">
      <c r="B37" s="1182"/>
      <c r="C37" s="1183"/>
      <c r="D37" s="365"/>
      <c r="E37" s="367"/>
      <c r="F37" s="370">
        <f t="shared" si="0"/>
        <v>0</v>
      </c>
      <c r="G37" s="371">
        <f t="shared" si="1"/>
        <v>0</v>
      </c>
      <c r="H37" s="34"/>
      <c r="I37" s="14"/>
      <c r="J37" s="14"/>
      <c r="K37" s="14"/>
      <c r="L37" s="14"/>
      <c r="M37" s="14"/>
      <c r="N37" s="14"/>
      <c r="O37" s="14"/>
      <c r="P37" s="14"/>
      <c r="Q37" s="14"/>
      <c r="R37" s="14"/>
    </row>
    <row r="38" spans="2:18" x14ac:dyDescent="0.25">
      <c r="B38" s="1182"/>
      <c r="C38" s="1183"/>
      <c r="D38" s="365"/>
      <c r="E38" s="362"/>
      <c r="F38" s="370">
        <f t="shared" si="0"/>
        <v>0</v>
      </c>
      <c r="G38" s="371">
        <f t="shared" si="1"/>
        <v>0</v>
      </c>
      <c r="H38" s="34"/>
      <c r="I38" s="14"/>
      <c r="J38" s="14"/>
      <c r="K38" s="14"/>
      <c r="L38" s="14"/>
      <c r="M38" s="14"/>
      <c r="N38" s="14"/>
      <c r="O38" s="14"/>
      <c r="P38" s="14"/>
      <c r="Q38" s="14"/>
      <c r="R38" s="14"/>
    </row>
    <row r="39" spans="2:18" x14ac:dyDescent="0.25">
      <c r="B39" s="1182"/>
      <c r="C39" s="1183"/>
      <c r="D39" s="365"/>
      <c r="E39" s="367"/>
      <c r="F39" s="370">
        <f t="shared" si="0"/>
        <v>0</v>
      </c>
      <c r="G39" s="371">
        <f t="shared" si="1"/>
        <v>0</v>
      </c>
      <c r="H39" s="34"/>
      <c r="I39" s="14"/>
      <c r="J39" s="14"/>
      <c r="K39" s="14"/>
      <c r="L39" s="14"/>
      <c r="M39" s="14"/>
      <c r="N39" s="14"/>
      <c r="O39" s="14"/>
      <c r="P39" s="14"/>
      <c r="Q39" s="14"/>
      <c r="R39" s="14"/>
    </row>
    <row r="40" spans="2:18" x14ac:dyDescent="0.25">
      <c r="B40" s="1182"/>
      <c r="C40" s="1183"/>
      <c r="D40" s="365"/>
      <c r="E40" s="367"/>
      <c r="F40" s="370">
        <f t="shared" si="0"/>
        <v>0</v>
      </c>
      <c r="G40" s="371">
        <f t="shared" si="1"/>
        <v>0</v>
      </c>
      <c r="H40" s="34"/>
      <c r="I40" s="14"/>
      <c r="J40" s="14"/>
      <c r="K40" s="14"/>
      <c r="L40" s="14"/>
      <c r="M40" s="14"/>
      <c r="N40" s="14"/>
      <c r="O40" s="14"/>
      <c r="P40" s="14"/>
      <c r="Q40" s="14"/>
      <c r="R40" s="14"/>
    </row>
    <row r="41" spans="2:18" x14ac:dyDescent="0.25">
      <c r="B41" s="1182"/>
      <c r="C41" s="1183"/>
      <c r="D41" s="365"/>
      <c r="E41" s="367"/>
      <c r="F41" s="370">
        <f t="shared" si="0"/>
        <v>0</v>
      </c>
      <c r="G41" s="371">
        <f t="shared" si="1"/>
        <v>0</v>
      </c>
      <c r="H41" s="34"/>
      <c r="I41" s="14"/>
      <c r="J41" s="14"/>
      <c r="K41" s="14"/>
      <c r="L41" s="14"/>
      <c r="M41" s="14"/>
      <c r="N41" s="14"/>
      <c r="O41" s="14"/>
      <c r="P41" s="14"/>
      <c r="Q41" s="14"/>
      <c r="R41" s="14"/>
    </row>
    <row r="42" spans="2:18" x14ac:dyDescent="0.25">
      <c r="B42" s="1182"/>
      <c r="C42" s="1183"/>
      <c r="D42" s="365"/>
      <c r="E42" s="362"/>
      <c r="F42" s="370">
        <f t="shared" si="0"/>
        <v>0</v>
      </c>
      <c r="G42" s="371">
        <f t="shared" si="1"/>
        <v>0</v>
      </c>
      <c r="H42" s="34"/>
      <c r="I42" s="14"/>
      <c r="J42" s="14"/>
      <c r="K42" s="14"/>
      <c r="L42" s="14"/>
      <c r="M42" s="14"/>
      <c r="N42" s="14"/>
      <c r="O42" s="14"/>
      <c r="P42" s="14"/>
      <c r="Q42" s="14"/>
      <c r="R42" s="14"/>
    </row>
    <row r="43" spans="2:18" x14ac:dyDescent="0.25">
      <c r="B43" s="1182"/>
      <c r="C43" s="1183"/>
      <c r="D43" s="365"/>
      <c r="E43" s="367"/>
      <c r="F43" s="370">
        <f t="shared" si="0"/>
        <v>0</v>
      </c>
      <c r="G43" s="371">
        <f t="shared" si="1"/>
        <v>0</v>
      </c>
      <c r="H43" s="34"/>
      <c r="I43" s="14"/>
      <c r="J43" s="14"/>
      <c r="K43" s="14"/>
      <c r="L43" s="14"/>
      <c r="M43" s="14"/>
      <c r="N43" s="14"/>
      <c r="O43" s="14"/>
      <c r="P43" s="14"/>
      <c r="Q43" s="14"/>
      <c r="R43" s="14"/>
    </row>
    <row r="44" spans="2:18" x14ac:dyDescent="0.25">
      <c r="B44" s="1182"/>
      <c r="C44" s="1183"/>
      <c r="D44" s="365"/>
      <c r="E44" s="367"/>
      <c r="F44" s="370">
        <f t="shared" si="0"/>
        <v>0</v>
      </c>
      <c r="G44" s="371">
        <f t="shared" si="1"/>
        <v>0</v>
      </c>
      <c r="H44" s="34"/>
      <c r="I44" s="14"/>
      <c r="J44" s="14"/>
      <c r="K44" s="14"/>
      <c r="L44" s="14"/>
      <c r="M44" s="14"/>
      <c r="N44" s="14"/>
      <c r="O44" s="14"/>
      <c r="P44" s="14"/>
      <c r="Q44" s="14"/>
      <c r="R44" s="14"/>
    </row>
    <row r="45" spans="2:18" x14ac:dyDescent="0.25">
      <c r="B45" s="1182"/>
      <c r="C45" s="1183"/>
      <c r="D45" s="365"/>
      <c r="E45" s="367"/>
      <c r="F45" s="370">
        <f t="shared" si="0"/>
        <v>0</v>
      </c>
      <c r="G45" s="371">
        <f t="shared" si="1"/>
        <v>0</v>
      </c>
      <c r="H45" s="34"/>
      <c r="I45" s="14"/>
      <c r="J45" s="14"/>
      <c r="K45" s="14"/>
      <c r="L45" s="14"/>
      <c r="M45" s="14"/>
      <c r="N45" s="14"/>
      <c r="O45" s="14"/>
      <c r="P45" s="14"/>
      <c r="Q45" s="14"/>
      <c r="R45" s="14"/>
    </row>
    <row r="46" spans="2:18" x14ac:dyDescent="0.25">
      <c r="B46" s="1182"/>
      <c r="C46" s="1183"/>
      <c r="D46" s="365"/>
      <c r="E46" s="367"/>
      <c r="F46" s="370">
        <f t="shared" si="0"/>
        <v>0</v>
      </c>
      <c r="G46" s="371">
        <f t="shared" si="1"/>
        <v>0</v>
      </c>
      <c r="H46" s="34"/>
      <c r="I46" s="14"/>
      <c r="J46" s="14"/>
      <c r="K46" s="14"/>
      <c r="L46" s="14"/>
      <c r="M46" s="14"/>
      <c r="N46" s="14"/>
      <c r="O46" s="14"/>
      <c r="P46" s="14"/>
      <c r="Q46" s="14"/>
      <c r="R46" s="14"/>
    </row>
    <row r="47" spans="2:18" x14ac:dyDescent="0.25">
      <c r="B47" s="1182"/>
      <c r="C47" s="1183"/>
      <c r="D47" s="365"/>
      <c r="E47" s="367"/>
      <c r="F47" s="370">
        <f t="shared" si="0"/>
        <v>0</v>
      </c>
      <c r="G47" s="371">
        <f t="shared" si="1"/>
        <v>0</v>
      </c>
      <c r="H47" s="34"/>
      <c r="I47" s="14"/>
      <c r="J47" s="14"/>
      <c r="K47" s="14"/>
      <c r="L47" s="14"/>
      <c r="M47" s="14"/>
      <c r="N47" s="14"/>
      <c r="O47" s="14"/>
      <c r="P47" s="14"/>
      <c r="Q47" s="14"/>
      <c r="R47" s="14"/>
    </row>
    <row r="48" spans="2:18" x14ac:dyDescent="0.25">
      <c r="B48" s="1182"/>
      <c r="C48" s="1183"/>
      <c r="D48" s="365"/>
      <c r="E48" s="365"/>
      <c r="F48" s="370">
        <f t="shared" si="0"/>
        <v>0</v>
      </c>
      <c r="G48" s="371">
        <f t="shared" si="1"/>
        <v>0</v>
      </c>
      <c r="H48" s="34"/>
      <c r="I48" s="14"/>
      <c r="J48" s="14"/>
      <c r="K48" s="14"/>
      <c r="L48" s="14"/>
      <c r="M48" s="14"/>
      <c r="N48" s="14"/>
      <c r="O48" s="14"/>
      <c r="P48" s="14"/>
      <c r="Q48" s="14"/>
      <c r="R48" s="14"/>
    </row>
    <row r="49" spans="2:18" ht="13.8" thickBot="1" x14ac:dyDescent="0.3">
      <c r="B49" s="1195"/>
      <c r="C49" s="1196"/>
      <c r="D49" s="368"/>
      <c r="E49" s="369"/>
      <c r="F49" s="373">
        <f t="shared" si="0"/>
        <v>0</v>
      </c>
      <c r="G49" s="374">
        <f>G48+F49</f>
        <v>0</v>
      </c>
      <c r="H49" s="34"/>
      <c r="I49" s="14"/>
      <c r="J49" s="14"/>
      <c r="K49" s="14"/>
      <c r="L49" s="14"/>
      <c r="M49" s="14"/>
      <c r="N49" s="14"/>
      <c r="O49" s="14"/>
      <c r="P49" s="14"/>
      <c r="Q49" s="14"/>
      <c r="R49" s="14"/>
    </row>
    <row r="50" spans="2:18" ht="18.75" customHeight="1" x14ac:dyDescent="0.25">
      <c r="B50" s="376" t="s">
        <v>66</v>
      </c>
      <c r="C50" s="377"/>
      <c r="D50" s="375">
        <f>SUM(D4:D49)</f>
        <v>0</v>
      </c>
      <c r="E50" s="375">
        <f>SUM(E4:E49)</f>
        <v>0</v>
      </c>
      <c r="F50" s="378"/>
      <c r="G50" s="1184">
        <f>G49</f>
        <v>0</v>
      </c>
      <c r="H50" s="34"/>
      <c r="I50" s="14"/>
      <c r="J50" s="14"/>
      <c r="K50" s="14"/>
      <c r="L50" s="14"/>
      <c r="M50" s="14"/>
      <c r="N50" s="14"/>
      <c r="O50" s="14"/>
      <c r="P50" s="14"/>
      <c r="Q50" s="14"/>
      <c r="R50" s="14"/>
    </row>
    <row r="51" spans="2:18" ht="18" customHeight="1" thickBot="1" x14ac:dyDescent="0.3">
      <c r="B51" s="1186" t="s">
        <v>68</v>
      </c>
      <c r="C51" s="1187"/>
      <c r="D51" s="1187"/>
      <c r="E51" s="1187"/>
      <c r="F51" s="1187"/>
      <c r="G51" s="1185"/>
      <c r="H51" s="34"/>
      <c r="I51" s="14"/>
      <c r="J51" s="14"/>
      <c r="K51" s="14"/>
      <c r="L51" s="14"/>
      <c r="M51" s="14"/>
      <c r="N51" s="14"/>
      <c r="O51" s="14"/>
      <c r="P51" s="14"/>
      <c r="Q51" s="14"/>
      <c r="R51" s="14"/>
    </row>
    <row r="52" spans="2:18" s="38" customFormat="1" ht="9" customHeight="1" x14ac:dyDescent="0.25">
      <c r="B52" s="279"/>
      <c r="C52" s="279"/>
      <c r="D52" s="280"/>
      <c r="E52" s="280"/>
      <c r="F52" s="34"/>
      <c r="G52" s="34"/>
      <c r="H52" s="34"/>
      <c r="I52" s="34"/>
      <c r="J52" s="34"/>
      <c r="K52" s="34"/>
      <c r="L52" s="34"/>
      <c r="M52" s="34"/>
      <c r="N52" s="34"/>
      <c r="O52" s="34"/>
      <c r="P52" s="34"/>
      <c r="Q52" s="34"/>
      <c r="R52" s="34"/>
    </row>
    <row r="53" spans="2:18" hidden="1" x14ac:dyDescent="0.25">
      <c r="B53" s="28"/>
      <c r="C53" s="28"/>
      <c r="D53" s="29"/>
      <c r="E53" s="29"/>
      <c r="F53" s="14"/>
      <c r="G53" s="14"/>
      <c r="H53" s="14"/>
      <c r="I53" s="14"/>
      <c r="J53" s="14"/>
      <c r="K53" s="14"/>
      <c r="L53" s="14"/>
      <c r="M53" s="14"/>
      <c r="N53" s="14"/>
      <c r="O53" s="14"/>
      <c r="P53" s="14"/>
      <c r="Q53" s="14"/>
      <c r="R53" s="14"/>
    </row>
    <row r="54" spans="2:18" hidden="1" x14ac:dyDescent="0.25">
      <c r="B54" s="28"/>
      <c r="C54" s="28"/>
      <c r="D54" s="29"/>
      <c r="E54" s="29"/>
      <c r="F54" s="14"/>
      <c r="G54" s="14"/>
      <c r="H54" s="14"/>
      <c r="I54" s="14"/>
      <c r="J54" s="14"/>
      <c r="K54" s="14"/>
      <c r="L54" s="14"/>
      <c r="M54" s="14"/>
      <c r="N54" s="14"/>
      <c r="O54" s="14"/>
      <c r="P54" s="14"/>
      <c r="Q54" s="14"/>
      <c r="R54" s="14"/>
    </row>
    <row r="55" spans="2:18" hidden="1" x14ac:dyDescent="0.25">
      <c r="B55" s="28"/>
      <c r="C55" s="28"/>
      <c r="D55" s="29"/>
      <c r="E55" s="29"/>
      <c r="F55" s="14"/>
      <c r="G55" s="14"/>
      <c r="H55" s="14"/>
      <c r="I55" s="14"/>
      <c r="J55" s="14"/>
      <c r="K55" s="14"/>
      <c r="L55" s="14"/>
      <c r="M55" s="14"/>
      <c r="N55" s="14"/>
      <c r="O55" s="14"/>
      <c r="P55" s="14"/>
      <c r="Q55" s="14"/>
      <c r="R55" s="14"/>
    </row>
    <row r="56" spans="2:18" hidden="1" x14ac:dyDescent="0.25">
      <c r="B56" s="28"/>
      <c r="C56" s="28"/>
      <c r="D56" s="29"/>
      <c r="E56" s="29"/>
      <c r="F56" s="14"/>
      <c r="G56" s="14"/>
      <c r="H56" s="14"/>
      <c r="I56" s="14"/>
      <c r="J56" s="14"/>
      <c r="K56" s="14"/>
      <c r="L56" s="14"/>
      <c r="M56" s="14"/>
      <c r="N56" s="14"/>
      <c r="O56" s="14"/>
      <c r="P56" s="14"/>
      <c r="Q56" s="14"/>
      <c r="R56" s="14"/>
    </row>
    <row r="57" spans="2:18" hidden="1" x14ac:dyDescent="0.25">
      <c r="B57" s="28"/>
      <c r="C57" s="28"/>
      <c r="D57" s="29"/>
      <c r="E57" s="29"/>
      <c r="F57" s="14"/>
      <c r="G57" s="14"/>
      <c r="H57" s="14"/>
      <c r="I57" s="14"/>
      <c r="J57" s="14"/>
      <c r="K57" s="14"/>
      <c r="L57" s="14"/>
      <c r="M57" s="14"/>
      <c r="N57" s="14"/>
      <c r="O57" s="14"/>
      <c r="P57" s="14"/>
      <c r="Q57" s="14"/>
      <c r="R57" s="14"/>
    </row>
    <row r="58" spans="2:18" hidden="1" x14ac:dyDescent="0.25">
      <c r="B58" s="28"/>
      <c r="C58" s="28"/>
      <c r="D58" s="29"/>
      <c r="E58" s="29"/>
      <c r="F58" s="14"/>
      <c r="G58" s="14"/>
      <c r="H58" s="14"/>
      <c r="I58" s="14"/>
      <c r="J58" s="14"/>
      <c r="K58" s="14"/>
      <c r="L58" s="14"/>
      <c r="M58" s="14"/>
      <c r="N58" s="14"/>
      <c r="O58" s="14"/>
      <c r="P58" s="14"/>
      <c r="Q58" s="14"/>
      <c r="R58" s="14"/>
    </row>
    <row r="59" spans="2:18" hidden="1" x14ac:dyDescent="0.25">
      <c r="B59" s="28"/>
      <c r="C59" s="28"/>
      <c r="D59" s="29"/>
      <c r="E59" s="29"/>
      <c r="F59" s="14"/>
      <c r="G59" s="14"/>
      <c r="H59" s="14"/>
      <c r="I59" s="14"/>
      <c r="J59" s="14"/>
      <c r="K59" s="14"/>
      <c r="L59" s="14"/>
      <c r="M59" s="14"/>
      <c r="N59" s="14"/>
      <c r="O59" s="14"/>
      <c r="P59" s="14"/>
      <c r="Q59" s="14"/>
      <c r="R59" s="14"/>
    </row>
    <row r="60" spans="2:18" hidden="1" x14ac:dyDescent="0.25">
      <c r="B60" s="28"/>
      <c r="C60" s="28"/>
      <c r="D60" s="29"/>
      <c r="E60" s="29"/>
      <c r="F60" s="14"/>
      <c r="G60" s="14"/>
      <c r="H60" s="14"/>
      <c r="I60" s="14"/>
      <c r="J60" s="14"/>
      <c r="K60" s="14"/>
      <c r="L60" s="14"/>
      <c r="M60" s="14"/>
      <c r="N60" s="14"/>
      <c r="O60" s="14"/>
      <c r="P60" s="14"/>
      <c r="Q60" s="14"/>
      <c r="R60" s="14"/>
    </row>
    <row r="61" spans="2:18" hidden="1" x14ac:dyDescent="0.25">
      <c r="B61" s="28"/>
      <c r="C61" s="28"/>
      <c r="D61" s="29"/>
      <c r="E61" s="29"/>
      <c r="F61" s="14"/>
      <c r="G61" s="14"/>
      <c r="H61" s="14"/>
      <c r="I61" s="14"/>
      <c r="J61" s="14"/>
      <c r="K61" s="14"/>
      <c r="L61" s="14"/>
      <c r="M61" s="14"/>
      <c r="N61" s="14"/>
      <c r="O61" s="14"/>
      <c r="P61" s="14"/>
      <c r="Q61" s="14"/>
      <c r="R61" s="14"/>
    </row>
    <row r="62" spans="2:18" hidden="1" x14ac:dyDescent="0.25">
      <c r="B62" s="28"/>
      <c r="C62" s="28"/>
      <c r="D62" s="29"/>
      <c r="E62" s="29"/>
      <c r="F62" s="14"/>
      <c r="G62" s="14"/>
      <c r="H62" s="14"/>
      <c r="I62" s="14"/>
      <c r="J62" s="14"/>
      <c r="K62" s="14"/>
      <c r="L62" s="14"/>
      <c r="M62" s="14"/>
      <c r="N62" s="14"/>
      <c r="O62" s="14"/>
      <c r="P62" s="14"/>
      <c r="Q62" s="14"/>
      <c r="R62" s="14"/>
    </row>
    <row r="63" spans="2:18" hidden="1" x14ac:dyDescent="0.25">
      <c r="B63" s="28"/>
      <c r="C63" s="28"/>
      <c r="D63" s="29"/>
      <c r="E63" s="29"/>
      <c r="F63" s="14"/>
      <c r="G63" s="14"/>
      <c r="H63" s="14"/>
      <c r="I63" s="14"/>
      <c r="J63" s="14"/>
      <c r="K63" s="14"/>
      <c r="L63" s="14"/>
      <c r="M63" s="14"/>
      <c r="N63" s="14"/>
      <c r="O63" s="14"/>
      <c r="P63" s="14"/>
      <c r="Q63" s="14"/>
      <c r="R63" s="14"/>
    </row>
    <row r="64" spans="2:18" hidden="1" x14ac:dyDescent="0.25">
      <c r="B64" s="28"/>
      <c r="C64" s="28"/>
      <c r="D64" s="29"/>
      <c r="E64" s="29"/>
      <c r="F64" s="14"/>
      <c r="G64" s="14"/>
      <c r="H64" s="14"/>
      <c r="I64" s="14"/>
      <c r="J64" s="14"/>
      <c r="K64" s="14"/>
      <c r="L64" s="14"/>
      <c r="M64" s="14"/>
      <c r="N64" s="14"/>
      <c r="O64" s="14"/>
      <c r="P64" s="14"/>
      <c r="Q64" s="14"/>
      <c r="R64" s="14"/>
    </row>
    <row r="65" spans="2:18" hidden="1" x14ac:dyDescent="0.25">
      <c r="B65" s="28"/>
      <c r="C65" s="28"/>
      <c r="D65" s="29"/>
      <c r="E65" s="29"/>
      <c r="F65" s="14"/>
      <c r="G65" s="14"/>
      <c r="H65" s="14"/>
      <c r="I65" s="14"/>
      <c r="J65" s="14"/>
      <c r="K65" s="14"/>
      <c r="L65" s="14"/>
      <c r="M65" s="14"/>
      <c r="N65" s="14"/>
      <c r="O65" s="14"/>
      <c r="P65" s="14"/>
      <c r="Q65" s="14"/>
      <c r="R65" s="14"/>
    </row>
    <row r="66" spans="2:18" hidden="1" x14ac:dyDescent="0.25">
      <c r="B66" s="28"/>
      <c r="C66" s="28"/>
      <c r="D66" s="29"/>
      <c r="E66" s="29"/>
      <c r="F66" s="14"/>
      <c r="G66" s="14"/>
      <c r="H66" s="14"/>
      <c r="I66" s="14"/>
      <c r="J66" s="14"/>
      <c r="K66" s="14"/>
      <c r="L66" s="14"/>
      <c r="M66" s="14"/>
      <c r="N66" s="14"/>
      <c r="O66" s="14"/>
      <c r="P66" s="14"/>
      <c r="Q66" s="14"/>
      <c r="R66" s="14"/>
    </row>
    <row r="67" spans="2:18" hidden="1" x14ac:dyDescent="0.25">
      <c r="B67" s="28"/>
      <c r="C67" s="28"/>
      <c r="D67" s="29"/>
      <c r="E67" s="29"/>
      <c r="F67" s="14"/>
      <c r="G67" s="14"/>
      <c r="H67" s="14"/>
      <c r="I67" s="14"/>
      <c r="J67" s="14"/>
      <c r="K67" s="14"/>
      <c r="L67" s="14"/>
      <c r="M67" s="14"/>
      <c r="N67" s="14"/>
      <c r="O67" s="14"/>
      <c r="P67" s="14"/>
      <c r="Q67" s="14"/>
      <c r="R67" s="14"/>
    </row>
    <row r="68" spans="2:18" hidden="1" x14ac:dyDescent="0.25">
      <c r="B68" s="28"/>
      <c r="C68" s="28"/>
      <c r="D68" s="29"/>
      <c r="E68" s="29"/>
      <c r="F68" s="14"/>
      <c r="G68" s="14"/>
      <c r="H68" s="14"/>
      <c r="I68" s="14"/>
      <c r="J68" s="14"/>
      <c r="K68" s="14"/>
      <c r="L68" s="14"/>
      <c r="M68" s="14"/>
      <c r="N68" s="14"/>
      <c r="O68" s="14"/>
      <c r="P68" s="14"/>
      <c r="Q68" s="14"/>
      <c r="R68" s="14"/>
    </row>
    <row r="69" spans="2:18" hidden="1" x14ac:dyDescent="0.25">
      <c r="B69" s="28"/>
      <c r="C69" s="28"/>
      <c r="D69" s="29"/>
      <c r="E69" s="29"/>
      <c r="F69" s="14"/>
      <c r="G69" s="14"/>
      <c r="H69" s="14"/>
      <c r="I69" s="14"/>
      <c r="J69" s="14"/>
      <c r="K69" s="14"/>
      <c r="L69" s="14"/>
      <c r="M69" s="14"/>
      <c r="N69" s="14"/>
      <c r="O69" s="14"/>
      <c r="P69" s="14"/>
      <c r="Q69" s="14"/>
      <c r="R69" s="14"/>
    </row>
    <row r="70" spans="2:18" hidden="1" x14ac:dyDescent="0.25">
      <c r="B70" s="28"/>
      <c r="C70" s="28"/>
      <c r="D70" s="29"/>
      <c r="E70" s="29"/>
      <c r="F70" s="14"/>
      <c r="G70" s="14"/>
      <c r="H70" s="14"/>
      <c r="I70" s="14"/>
      <c r="J70" s="14"/>
      <c r="K70" s="14"/>
      <c r="L70" s="14"/>
      <c r="M70" s="14"/>
      <c r="N70" s="14"/>
      <c r="O70" s="14"/>
      <c r="P70" s="14"/>
      <c r="Q70" s="14"/>
      <c r="R70" s="14"/>
    </row>
    <row r="71" spans="2:18" hidden="1" x14ac:dyDescent="0.25">
      <c r="B71" s="28"/>
      <c r="C71" s="28"/>
      <c r="D71" s="29"/>
      <c r="E71" s="29"/>
      <c r="F71" s="14"/>
      <c r="G71" s="14"/>
      <c r="H71" s="14"/>
      <c r="I71" s="14"/>
      <c r="J71" s="14"/>
      <c r="K71" s="14"/>
      <c r="L71" s="14"/>
      <c r="M71" s="14"/>
      <c r="N71" s="14"/>
      <c r="O71" s="14"/>
      <c r="P71" s="14"/>
      <c r="Q71" s="14"/>
      <c r="R71" s="14"/>
    </row>
    <row r="72" spans="2:18" hidden="1" x14ac:dyDescent="0.25">
      <c r="B72" s="28"/>
      <c r="C72" s="28"/>
      <c r="D72" s="29"/>
      <c r="E72" s="29"/>
      <c r="F72" s="14"/>
      <c r="G72" s="14"/>
      <c r="H72" s="14"/>
      <c r="I72" s="14"/>
      <c r="J72" s="14"/>
      <c r="K72" s="14"/>
      <c r="L72" s="14"/>
      <c r="M72" s="14"/>
      <c r="N72" s="14"/>
      <c r="O72" s="14"/>
      <c r="P72" s="14"/>
      <c r="Q72" s="14"/>
      <c r="R72" s="14"/>
    </row>
    <row r="73" spans="2:18" hidden="1" x14ac:dyDescent="0.25">
      <c r="B73" s="28"/>
      <c r="C73" s="28"/>
      <c r="D73" s="29"/>
      <c r="E73" s="29"/>
      <c r="F73" s="14"/>
      <c r="G73" s="14"/>
      <c r="H73" s="14"/>
      <c r="I73" s="14"/>
      <c r="J73" s="14"/>
      <c r="K73" s="14"/>
      <c r="L73" s="14"/>
      <c r="M73" s="14"/>
      <c r="N73" s="14"/>
      <c r="O73" s="14"/>
      <c r="P73" s="14"/>
      <c r="Q73" s="14"/>
      <c r="R73" s="14"/>
    </row>
    <row r="74" spans="2:18" hidden="1" x14ac:dyDescent="0.25">
      <c r="B74" s="28"/>
      <c r="C74" s="28"/>
      <c r="D74" s="29"/>
      <c r="E74" s="29"/>
      <c r="F74" s="14"/>
      <c r="G74" s="14"/>
      <c r="H74" s="14"/>
      <c r="I74" s="14"/>
      <c r="J74" s="14"/>
      <c r="K74" s="14"/>
      <c r="L74" s="14"/>
      <c r="M74" s="14"/>
      <c r="N74" s="14"/>
      <c r="O74" s="14"/>
      <c r="P74" s="14"/>
      <c r="Q74" s="14"/>
      <c r="R74" s="14"/>
    </row>
    <row r="75" spans="2:18" hidden="1" x14ac:dyDescent="0.25">
      <c r="B75" s="28"/>
      <c r="C75" s="28"/>
      <c r="D75" s="29"/>
      <c r="E75" s="29"/>
      <c r="F75" s="14"/>
      <c r="G75" s="14"/>
      <c r="H75" s="14"/>
      <c r="I75" s="14"/>
      <c r="J75" s="14"/>
      <c r="K75" s="14"/>
      <c r="L75" s="14"/>
      <c r="M75" s="14"/>
      <c r="N75" s="14"/>
      <c r="O75" s="14"/>
      <c r="P75" s="14"/>
      <c r="Q75" s="14"/>
      <c r="R75" s="14"/>
    </row>
    <row r="76" spans="2:18" hidden="1" x14ac:dyDescent="0.25">
      <c r="B76" s="28"/>
      <c r="C76" s="28"/>
      <c r="D76" s="29"/>
      <c r="E76" s="29"/>
      <c r="F76" s="14"/>
      <c r="G76" s="14"/>
      <c r="H76" s="14"/>
      <c r="I76" s="14"/>
      <c r="J76" s="14"/>
      <c r="K76" s="14"/>
      <c r="L76" s="14"/>
      <c r="M76" s="14"/>
      <c r="N76" s="14"/>
      <c r="O76" s="14"/>
      <c r="P76" s="14"/>
      <c r="Q76" s="14"/>
      <c r="R76" s="14"/>
    </row>
    <row r="77" spans="2:18" hidden="1" x14ac:dyDescent="0.25">
      <c r="B77" s="28"/>
      <c r="C77" s="28"/>
      <c r="D77" s="29"/>
      <c r="E77" s="29"/>
      <c r="F77" s="14"/>
      <c r="G77" s="14"/>
      <c r="H77" s="14"/>
      <c r="I77" s="14"/>
      <c r="J77" s="14"/>
      <c r="K77" s="14"/>
      <c r="L77" s="14"/>
      <c r="M77" s="14"/>
      <c r="N77" s="14"/>
      <c r="O77" s="14"/>
      <c r="P77" s="14"/>
      <c r="Q77" s="14"/>
      <c r="R77" s="14"/>
    </row>
    <row r="78" spans="2:18" hidden="1" x14ac:dyDescent="0.25">
      <c r="B78" s="28"/>
      <c r="C78" s="28"/>
      <c r="D78" s="29"/>
      <c r="E78" s="29"/>
      <c r="F78" s="14"/>
      <c r="G78" s="14"/>
      <c r="H78" s="14"/>
      <c r="I78" s="14"/>
      <c r="J78" s="14"/>
      <c r="K78" s="14"/>
      <c r="L78" s="14"/>
      <c r="M78" s="14"/>
      <c r="N78" s="14"/>
      <c r="O78" s="14"/>
      <c r="P78" s="14"/>
      <c r="Q78" s="14"/>
      <c r="R78" s="14"/>
    </row>
    <row r="79" spans="2:18" hidden="1" x14ac:dyDescent="0.25">
      <c r="B79" s="28"/>
      <c r="C79" s="28"/>
      <c r="D79" s="29"/>
      <c r="E79" s="29"/>
      <c r="F79" s="14"/>
      <c r="G79" s="14"/>
      <c r="H79" s="14"/>
      <c r="I79" s="14"/>
      <c r="J79" s="14"/>
      <c r="K79" s="14"/>
      <c r="L79" s="14"/>
      <c r="M79" s="14"/>
      <c r="N79" s="14"/>
      <c r="O79" s="14"/>
      <c r="P79" s="14"/>
      <c r="Q79" s="14"/>
      <c r="R79" s="14"/>
    </row>
    <row r="80" spans="2:18" hidden="1" x14ac:dyDescent="0.25">
      <c r="B80" s="28"/>
      <c r="C80" s="28"/>
      <c r="D80" s="29"/>
      <c r="E80" s="29"/>
      <c r="F80" s="14"/>
      <c r="G80" s="14"/>
      <c r="H80" s="14"/>
      <c r="I80" s="14"/>
      <c r="J80" s="14"/>
      <c r="K80" s="14"/>
      <c r="L80" s="14"/>
      <c r="M80" s="14"/>
      <c r="N80" s="14"/>
      <c r="O80" s="14"/>
      <c r="P80" s="14"/>
      <c r="Q80" s="14"/>
      <c r="R80" s="14"/>
    </row>
    <row r="81" spans="2:18" hidden="1" x14ac:dyDescent="0.25">
      <c r="B81" s="28"/>
      <c r="C81" s="28"/>
      <c r="D81" s="29"/>
      <c r="E81" s="29"/>
      <c r="F81" s="14"/>
      <c r="G81" s="14"/>
      <c r="H81" s="14"/>
      <c r="I81" s="14"/>
      <c r="J81" s="14"/>
      <c r="K81" s="14"/>
      <c r="L81" s="14"/>
      <c r="M81" s="14"/>
      <c r="N81" s="14"/>
      <c r="O81" s="14"/>
      <c r="P81" s="14"/>
      <c r="Q81" s="14"/>
      <c r="R81" s="14"/>
    </row>
    <row r="82" spans="2:18" hidden="1" x14ac:dyDescent="0.25">
      <c r="B82" s="28"/>
      <c r="C82" s="28"/>
      <c r="D82" s="29"/>
      <c r="E82" s="29"/>
      <c r="F82" s="14"/>
      <c r="G82" s="14"/>
      <c r="H82" s="14"/>
      <c r="I82" s="14"/>
      <c r="J82" s="14"/>
      <c r="K82" s="14"/>
      <c r="L82" s="14"/>
      <c r="M82" s="14"/>
      <c r="N82" s="14"/>
      <c r="O82" s="14"/>
      <c r="P82" s="14"/>
      <c r="Q82" s="14"/>
      <c r="R82" s="14"/>
    </row>
    <row r="83" spans="2:18" hidden="1" x14ac:dyDescent="0.25">
      <c r="B83" s="28"/>
      <c r="C83" s="28"/>
      <c r="D83" s="29"/>
      <c r="E83" s="29"/>
      <c r="F83" s="14"/>
      <c r="G83" s="14"/>
      <c r="H83" s="14"/>
      <c r="I83" s="14"/>
      <c r="J83" s="14"/>
      <c r="K83" s="14"/>
      <c r="L83" s="14"/>
      <c r="M83" s="14"/>
      <c r="N83" s="14"/>
      <c r="O83" s="14"/>
      <c r="P83" s="14"/>
      <c r="Q83" s="14"/>
      <c r="R83" s="14"/>
    </row>
    <row r="84" spans="2:18" hidden="1" x14ac:dyDescent="0.25">
      <c r="B84" s="28"/>
      <c r="C84" s="28"/>
      <c r="D84" s="29"/>
      <c r="E84" s="29"/>
      <c r="F84" s="14"/>
      <c r="G84" s="14"/>
      <c r="H84" s="14"/>
      <c r="I84" s="14"/>
      <c r="J84" s="14"/>
      <c r="K84" s="14"/>
      <c r="L84" s="14"/>
      <c r="M84" s="14"/>
      <c r="N84" s="14"/>
      <c r="O84" s="14"/>
      <c r="P84" s="14"/>
      <c r="Q84" s="14"/>
      <c r="R84" s="14"/>
    </row>
  </sheetData>
  <sheetProtection algorithmName="SHA-512" hashValue="PH47ySRPlPV8kQLsJvp68LAoLu9z7HmYzvPSqccKOx9WOhGi2W1xWZ5fumtL7bGoUDp/1yLrXcp1A+Vcfk4xXA==" saltValue="oV0kTsFbGSnGilPvKjB5lA==" spinCount="100000" sheet="1" objects="1" scenarios="1" selectLockedCells="1"/>
  <protectedRanges>
    <protectedRange sqref="B4:E5" name="Range1"/>
  </protectedRanges>
  <mergeCells count="50">
    <mergeCell ref="G50:G51"/>
    <mergeCell ref="B51:F51"/>
    <mergeCell ref="B2:G2"/>
    <mergeCell ref="B4:C4"/>
    <mergeCell ref="B3:C3"/>
    <mergeCell ref="B5:C5"/>
    <mergeCell ref="B6:C6"/>
    <mergeCell ref="B7:C7"/>
    <mergeCell ref="B8:C8"/>
    <mergeCell ref="B9:C9"/>
    <mergeCell ref="B49:C49"/>
    <mergeCell ref="B48:C48"/>
    <mergeCell ref="B47:C47"/>
    <mergeCell ref="B46:C46"/>
    <mergeCell ref="B45:C45"/>
    <mergeCell ref="B44:C44"/>
    <mergeCell ref="B43:C43"/>
    <mergeCell ref="B42:C42"/>
    <mergeCell ref="B41:C41"/>
    <mergeCell ref="B40:C40"/>
    <mergeCell ref="B39:C39"/>
    <mergeCell ref="B38:C38"/>
    <mergeCell ref="B37:C37"/>
    <mergeCell ref="B36:C36"/>
    <mergeCell ref="B35:C35"/>
    <mergeCell ref="B34:C34"/>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30:C30"/>
    <mergeCell ref="B31:C31"/>
    <mergeCell ref="B32:C32"/>
    <mergeCell ref="B33:C33"/>
    <mergeCell ref="B25:C25"/>
    <mergeCell ref="B26:C26"/>
    <mergeCell ref="B27:C27"/>
    <mergeCell ref="B28:C28"/>
    <mergeCell ref="B29:C29"/>
  </mergeCells>
  <phoneticPr fontId="0" type="noConversion"/>
  <printOptions horizontalCentered="1"/>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576F5-1AAF-42B7-A57C-A4BB393EC1BF}">
  <dimension ref="A1:AG26"/>
  <sheetViews>
    <sheetView view="pageLayout" zoomScaleNormal="100" workbookViewId="0">
      <selection activeCell="K3" sqref="K3"/>
    </sheetView>
  </sheetViews>
  <sheetFormatPr defaultColWidth="0" defaultRowHeight="14.4" zeroHeight="1" x14ac:dyDescent="0.3"/>
  <cols>
    <col min="1" max="1" width="1" style="429" customWidth="1"/>
    <col min="2" max="2" width="20.109375" style="429" customWidth="1"/>
    <col min="3" max="3" width="7.5546875" style="429" customWidth="1"/>
    <col min="4" max="4" width="6.44140625" style="429" customWidth="1"/>
    <col min="5" max="5" width="4.109375" style="429" customWidth="1"/>
    <col min="6" max="6" width="9.33203125" style="429" customWidth="1"/>
    <col min="7" max="7" width="9.5546875" style="429" customWidth="1"/>
    <col min="8" max="8" width="9.109375" style="429" customWidth="1"/>
    <col min="9" max="9" width="11.77734375" style="429" customWidth="1"/>
    <col min="10" max="10" width="9.88671875" style="429" customWidth="1"/>
    <col min="11" max="11" width="11.21875" style="429" customWidth="1"/>
    <col min="12" max="12" width="4.21875" style="429" customWidth="1"/>
    <col min="13" max="13" width="8.77734375" style="429" customWidth="1"/>
    <col min="14" max="14" width="5.88671875" style="429" customWidth="1"/>
    <col min="15" max="15" width="1" style="565" customWidth="1"/>
    <col min="16" max="16" width="2" style="565" hidden="1" customWidth="1"/>
    <col min="17" max="17" width="11.6640625" style="565" hidden="1" customWidth="1"/>
    <col min="18" max="33" width="0" style="565" hidden="1" customWidth="1"/>
    <col min="34" max="16384" width="8.88671875" style="565" hidden="1"/>
  </cols>
  <sheetData>
    <row r="1" spans="1:33" ht="4.5" customHeight="1" thickBot="1" x14ac:dyDescent="0.35">
      <c r="A1" s="480"/>
      <c r="B1" s="503"/>
      <c r="C1" s="503"/>
      <c r="D1" s="503"/>
      <c r="E1" s="503"/>
      <c r="F1" s="503"/>
      <c r="G1" s="503"/>
      <c r="H1" s="503"/>
      <c r="I1" s="503"/>
      <c r="J1" s="503"/>
      <c r="K1" s="503"/>
      <c r="L1" s="503"/>
      <c r="M1" s="503"/>
      <c r="N1" s="503"/>
      <c r="O1" s="503"/>
    </row>
    <row r="2" spans="1:33" ht="24" customHeight="1" thickBot="1" x14ac:dyDescent="0.4">
      <c r="A2" s="480"/>
      <c r="B2" s="1242" t="s">
        <v>45</v>
      </c>
      <c r="C2" s="1243"/>
      <c r="D2" s="1243"/>
      <c r="E2" s="1244"/>
      <c r="F2" s="1244"/>
      <c r="G2" s="1244"/>
      <c r="H2" s="1245"/>
      <c r="I2" s="1245"/>
      <c r="J2" s="1245"/>
      <c r="K2" s="1245"/>
      <c r="L2" s="1245"/>
      <c r="M2" s="1245"/>
      <c r="N2" s="1246"/>
      <c r="O2" s="582"/>
      <c r="P2" s="585"/>
      <c r="Q2" s="585"/>
      <c r="R2" s="586" t="s">
        <v>395</v>
      </c>
      <c r="S2" s="568"/>
      <c r="T2" s="568"/>
      <c r="U2" s="568"/>
      <c r="V2" s="568"/>
      <c r="W2" s="568"/>
      <c r="X2" s="568"/>
      <c r="Y2" s="568"/>
      <c r="Z2" s="568"/>
      <c r="AA2" s="568"/>
      <c r="AB2" s="568"/>
      <c r="AC2" s="568"/>
      <c r="AD2" s="568"/>
      <c r="AE2" s="568"/>
    </row>
    <row r="3" spans="1:33" ht="19.5" customHeight="1" thickBot="1" x14ac:dyDescent="0.35">
      <c r="A3" s="480"/>
      <c r="B3" s="1236" t="s">
        <v>440</v>
      </c>
      <c r="C3" s="1247"/>
      <c r="D3" s="1247"/>
      <c r="E3" s="1248"/>
      <c r="F3" s="1249"/>
      <c r="G3" s="482" t="s">
        <v>376</v>
      </c>
      <c r="H3" s="1250">
        <v>38.916980000000002</v>
      </c>
      <c r="I3" s="1244"/>
      <c r="J3" s="1244"/>
      <c r="K3" s="430" t="s">
        <v>377</v>
      </c>
      <c r="L3" s="1251">
        <v>-79.841220000000007</v>
      </c>
      <c r="M3" s="1251"/>
      <c r="N3" s="1252"/>
      <c r="O3" s="582"/>
      <c r="P3" s="585"/>
      <c r="Q3" s="568"/>
      <c r="R3" s="568"/>
      <c r="S3" s="568"/>
      <c r="T3" s="568"/>
      <c r="U3" s="568"/>
      <c r="V3" s="568"/>
      <c r="W3" s="568"/>
      <c r="X3" s="568"/>
      <c r="Y3" s="568"/>
      <c r="Z3" s="568"/>
      <c r="AA3" s="568"/>
      <c r="AB3" s="568"/>
      <c r="AC3" s="568"/>
      <c r="AD3" s="568"/>
      <c r="AE3" s="568"/>
    </row>
    <row r="4" spans="1:33" ht="30" customHeight="1" thickBot="1" x14ac:dyDescent="0.35">
      <c r="A4" s="480"/>
      <c r="B4" s="1253" t="s">
        <v>378</v>
      </c>
      <c r="C4" s="1254"/>
      <c r="D4" s="1254"/>
      <c r="E4" s="1254"/>
      <c r="F4" s="1254"/>
      <c r="G4" s="1255"/>
      <c r="H4" s="1256"/>
      <c r="I4" s="1257"/>
      <c r="J4" s="1257"/>
      <c r="K4" s="1257"/>
      <c r="L4" s="1257"/>
      <c r="M4" s="1257"/>
      <c r="N4" s="1258"/>
      <c r="O4" s="587"/>
      <c r="P4" s="585"/>
      <c r="Q4" s="588"/>
      <c r="R4" s="569"/>
      <c r="S4" s="589"/>
      <c r="T4" s="568"/>
      <c r="U4" s="568"/>
      <c r="V4" s="568"/>
      <c r="W4" s="568"/>
      <c r="X4" s="568"/>
      <c r="Y4" s="568"/>
      <c r="Z4" s="568"/>
      <c r="AA4" s="568"/>
      <c r="AB4" s="568"/>
      <c r="AC4" s="568"/>
      <c r="AD4" s="568"/>
      <c r="AE4" s="568"/>
    </row>
    <row r="5" spans="1:33" ht="24.75" customHeight="1" thickBot="1" x14ac:dyDescent="0.35">
      <c r="A5" s="480"/>
      <c r="B5" s="1236" t="s">
        <v>379</v>
      </c>
      <c r="C5" s="1237"/>
      <c r="D5" s="1237"/>
      <c r="E5" s="1237"/>
      <c r="F5" s="1237"/>
      <c r="G5" s="1238"/>
      <c r="H5" s="1239" t="s">
        <v>24</v>
      </c>
      <c r="I5" s="1240"/>
      <c r="J5" s="1240"/>
      <c r="K5" s="1240"/>
      <c r="L5" s="1240"/>
      <c r="M5" s="1240"/>
      <c r="N5" s="1241"/>
      <c r="O5" s="587"/>
      <c r="P5" s="585"/>
      <c r="Q5" s="590" t="b">
        <f>OR(H5=U9, H5=U13)</f>
        <v>0</v>
      </c>
      <c r="R5" s="591" t="s">
        <v>441</v>
      </c>
      <c r="S5" s="592"/>
      <c r="T5" s="592"/>
      <c r="U5" s="592"/>
      <c r="V5" s="592"/>
      <c r="W5" s="592"/>
      <c r="X5" s="593"/>
      <c r="Y5" s="594"/>
      <c r="Z5" s="568"/>
      <c r="AA5" s="568"/>
      <c r="AB5" s="568"/>
      <c r="AC5" s="568"/>
      <c r="AD5" s="568"/>
      <c r="AE5" s="568"/>
    </row>
    <row r="6" spans="1:33" ht="30.75" customHeight="1" thickBot="1" x14ac:dyDescent="0.35">
      <c r="A6" s="480"/>
      <c r="B6" s="520" t="s">
        <v>33</v>
      </c>
      <c r="C6" s="1233"/>
      <c r="D6" s="1234"/>
      <c r="E6" s="1234"/>
      <c r="F6" s="1234"/>
      <c r="G6" s="1234"/>
      <c r="H6" s="1234"/>
      <c r="I6" s="1234"/>
      <c r="J6" s="1234"/>
      <c r="K6" s="1234"/>
      <c r="L6" s="1234"/>
      <c r="M6" s="1234"/>
      <c r="N6" s="1235"/>
      <c r="O6" s="501"/>
      <c r="P6" s="585"/>
      <c r="Q6" s="595"/>
      <c r="Y6" s="568"/>
      <c r="Z6" s="568"/>
      <c r="AA6" s="568"/>
      <c r="AB6" s="568"/>
      <c r="AC6" s="568"/>
      <c r="AD6" s="568"/>
      <c r="AE6" s="568"/>
    </row>
    <row r="7" spans="1:33" ht="21" customHeight="1" x14ac:dyDescent="0.3">
      <c r="A7" s="480"/>
      <c r="B7" s="1205" t="s">
        <v>380</v>
      </c>
      <c r="C7" s="1206"/>
      <c r="D7" s="1206"/>
      <c r="E7" s="1206"/>
      <c r="F7" s="1206"/>
      <c r="G7" s="1206"/>
      <c r="H7" s="1206"/>
      <c r="I7" s="1206"/>
      <c r="J7" s="1206"/>
      <c r="K7" s="1206"/>
      <c r="L7" s="1206"/>
      <c r="M7" s="1206"/>
      <c r="N7" s="1207"/>
      <c r="O7" s="501"/>
      <c r="P7" s="585"/>
      <c r="Q7" s="595"/>
      <c r="Y7" s="568"/>
      <c r="Z7" s="568"/>
      <c r="AA7" s="568"/>
      <c r="AB7" s="568"/>
      <c r="AC7" s="568"/>
      <c r="AD7" s="568"/>
      <c r="AE7" s="568"/>
    </row>
    <row r="8" spans="1:33" ht="61.2" customHeight="1" x14ac:dyDescent="0.3">
      <c r="A8" s="480"/>
      <c r="B8" s="1228" t="s">
        <v>381</v>
      </c>
      <c r="C8" s="1229"/>
      <c r="D8" s="1229"/>
      <c r="E8" s="1230"/>
      <c r="F8" s="483" t="s">
        <v>382</v>
      </c>
      <c r="G8" s="483" t="s">
        <v>442</v>
      </c>
      <c r="H8" s="483" t="s">
        <v>499</v>
      </c>
      <c r="I8" s="483" t="s">
        <v>500</v>
      </c>
      <c r="J8" s="483" t="s">
        <v>443</v>
      </c>
      <c r="K8" s="1226" t="s">
        <v>383</v>
      </c>
      <c r="L8" s="1227"/>
      <c r="M8" s="1211" t="s">
        <v>384</v>
      </c>
      <c r="N8" s="1212"/>
      <c r="O8" s="493"/>
      <c r="P8" s="596"/>
      <c r="Q8" s="493"/>
      <c r="R8" s="585"/>
      <c r="S8" s="597" t="s">
        <v>444</v>
      </c>
      <c r="T8" s="620" t="s">
        <v>501</v>
      </c>
      <c r="U8" s="591" t="s">
        <v>385</v>
      </c>
      <c r="V8" s="592"/>
      <c r="W8" s="592"/>
      <c r="X8" s="592"/>
      <c r="Y8" s="593"/>
      <c r="AA8" s="568"/>
      <c r="AB8" s="568"/>
      <c r="AC8" s="568"/>
      <c r="AD8" s="568"/>
      <c r="AE8" s="568"/>
      <c r="AF8" s="568"/>
      <c r="AG8" s="568"/>
    </row>
    <row r="9" spans="1:33" ht="14.4" customHeight="1" x14ac:dyDescent="0.3">
      <c r="A9" s="480"/>
      <c r="B9" s="1218" t="s">
        <v>386</v>
      </c>
      <c r="C9" s="1219"/>
      <c r="D9" s="1219"/>
      <c r="E9" s="1220"/>
      <c r="F9" s="667">
        <v>1</v>
      </c>
      <c r="G9" s="668">
        <v>0.47</v>
      </c>
      <c r="H9" s="642">
        <v>3000</v>
      </c>
      <c r="I9" s="643">
        <v>44865</v>
      </c>
      <c r="J9" s="654">
        <f t="shared" ref="J9:J20" si="0">IF(OR(F9="",G9=""),"",IF(AND(S9=FALSE,F9&gt;0), G9+0.1, G9))</f>
        <v>0.47</v>
      </c>
      <c r="K9" s="1224" t="s">
        <v>34</v>
      </c>
      <c r="L9" s="1225"/>
      <c r="M9" s="1213">
        <f t="shared" ref="M9:M20" si="1">IF(OR(J9="", K9=""),"",IF(K9="Conversion", IF(J9&gt;1, 0.5*F9*J9*3, 0.5*F9*J9),IF(J9&gt;1, F9*J9*3, F9*J9)))</f>
        <v>0.47</v>
      </c>
      <c r="N9" s="1214"/>
      <c r="O9" s="598"/>
      <c r="P9" s="598"/>
      <c r="Q9" s="598"/>
      <c r="R9" s="599"/>
      <c r="S9" s="624" t="b">
        <f>IF(AND(T9&gt;5, T9&lt;10), TRUE, (IF(AND(H9&lt;=3000, T9&gt;4, T9&lt;11),TRUE,FALSE)))</f>
        <v>1</v>
      </c>
      <c r="T9" s="621">
        <f>MONTH(I9)</f>
        <v>10</v>
      </c>
      <c r="U9" s="600" t="s">
        <v>26</v>
      </c>
      <c r="V9" s="601"/>
      <c r="W9" s="601"/>
      <c r="X9" s="601"/>
      <c r="Y9" s="602"/>
      <c r="AA9" s="568"/>
      <c r="AB9" s="568"/>
      <c r="AC9" s="568"/>
      <c r="AD9" s="568"/>
      <c r="AE9" s="568"/>
      <c r="AF9" s="568"/>
      <c r="AG9" s="568"/>
    </row>
    <row r="10" spans="1:33" ht="14.25" customHeight="1" x14ac:dyDescent="0.3">
      <c r="A10" s="480"/>
      <c r="B10" s="1218" t="s">
        <v>387</v>
      </c>
      <c r="C10" s="1219"/>
      <c r="D10" s="1219"/>
      <c r="E10" s="1220"/>
      <c r="F10" s="667">
        <v>1</v>
      </c>
      <c r="G10" s="668">
        <v>0.54</v>
      </c>
      <c r="H10" s="642">
        <v>3001</v>
      </c>
      <c r="I10" s="643">
        <v>44865</v>
      </c>
      <c r="J10" s="654">
        <f t="shared" si="0"/>
        <v>0.64</v>
      </c>
      <c r="K10" s="1231" t="s">
        <v>388</v>
      </c>
      <c r="L10" s="1232"/>
      <c r="M10" s="1213">
        <f t="shared" si="1"/>
        <v>0.64</v>
      </c>
      <c r="N10" s="1214"/>
      <c r="O10" s="598"/>
      <c r="P10" s="598"/>
      <c r="Q10" s="598"/>
      <c r="R10" s="599"/>
      <c r="S10" s="624" t="b">
        <f t="shared" ref="S10:S20" si="2">IF(AND(T10&gt;5, T10&lt;10), TRUE, (IF(AND(H10&lt;=3000, T10&gt;4, T10&lt;11),TRUE,FALSE)))</f>
        <v>0</v>
      </c>
      <c r="T10" s="622">
        <f>MONTH(I10)</f>
        <v>10</v>
      </c>
      <c r="U10" s="600" t="s">
        <v>24</v>
      </c>
      <c r="V10" s="601"/>
      <c r="W10" s="601"/>
      <c r="X10" s="601"/>
      <c r="Y10" s="602"/>
      <c r="AA10" s="568"/>
      <c r="AB10" s="568"/>
      <c r="AC10" s="568"/>
      <c r="AD10" s="568"/>
      <c r="AE10" s="568"/>
      <c r="AF10" s="568"/>
      <c r="AG10" s="568"/>
    </row>
    <row r="11" spans="1:33" x14ac:dyDescent="0.3">
      <c r="A11" s="480"/>
      <c r="B11" s="1218" t="s">
        <v>389</v>
      </c>
      <c r="C11" s="1219"/>
      <c r="D11" s="1219"/>
      <c r="E11" s="1220"/>
      <c r="F11" s="667">
        <v>1</v>
      </c>
      <c r="G11" s="668">
        <v>0.68</v>
      </c>
      <c r="H11" s="642">
        <v>4700</v>
      </c>
      <c r="I11" s="643">
        <v>44712</v>
      </c>
      <c r="J11" s="654">
        <f t="shared" si="0"/>
        <v>0.78</v>
      </c>
      <c r="K11" s="1224" t="s">
        <v>35</v>
      </c>
      <c r="L11" s="1225"/>
      <c r="M11" s="1213">
        <f t="shared" si="1"/>
        <v>0.78</v>
      </c>
      <c r="N11" s="1214"/>
      <c r="O11" s="598"/>
      <c r="P11" s="598"/>
      <c r="Q11" s="598"/>
      <c r="R11" s="599"/>
      <c r="S11" s="624" t="b">
        <f t="shared" si="2"/>
        <v>0</v>
      </c>
      <c r="T11" s="622">
        <f t="shared" ref="T11:T20" si="3">MONTH(I11)</f>
        <v>5</v>
      </c>
      <c r="U11" s="600" t="s">
        <v>40</v>
      </c>
      <c r="V11" s="601"/>
      <c r="W11" s="601"/>
      <c r="X11" s="601"/>
      <c r="Y11" s="602"/>
      <c r="AA11" s="568"/>
      <c r="AB11" s="568"/>
      <c r="AC11" s="568"/>
      <c r="AD11" s="568"/>
      <c r="AE11" s="568"/>
      <c r="AF11" s="568"/>
      <c r="AG11" s="568"/>
    </row>
    <row r="12" spans="1:33" ht="15" customHeight="1" x14ac:dyDescent="0.3">
      <c r="A12" s="480"/>
      <c r="B12" s="1218" t="s">
        <v>445</v>
      </c>
      <c r="C12" s="1219"/>
      <c r="D12" s="1219"/>
      <c r="E12" s="1220"/>
      <c r="F12" s="667">
        <v>1</v>
      </c>
      <c r="G12" s="668">
        <v>0.57999999999999996</v>
      </c>
      <c r="H12" s="642">
        <v>350</v>
      </c>
      <c r="I12" s="643">
        <v>44712</v>
      </c>
      <c r="J12" s="654">
        <f t="shared" si="0"/>
        <v>0.57999999999999996</v>
      </c>
      <c r="K12" s="1224" t="s">
        <v>34</v>
      </c>
      <c r="L12" s="1225"/>
      <c r="M12" s="1213">
        <f t="shared" si="1"/>
        <v>0.57999999999999996</v>
      </c>
      <c r="N12" s="1214"/>
      <c r="O12" s="598"/>
      <c r="P12" s="598"/>
      <c r="Q12" s="598"/>
      <c r="R12" s="599"/>
      <c r="S12" s="624" t="b">
        <f t="shared" si="2"/>
        <v>1</v>
      </c>
      <c r="T12" s="622">
        <f t="shared" si="3"/>
        <v>5</v>
      </c>
      <c r="U12" s="600" t="s">
        <v>41</v>
      </c>
      <c r="V12" s="601"/>
      <c r="W12" s="601"/>
      <c r="X12" s="601"/>
      <c r="Y12" s="602"/>
      <c r="AA12" s="568"/>
      <c r="AB12" s="568"/>
      <c r="AC12" s="568"/>
      <c r="AD12" s="568"/>
      <c r="AE12" s="568"/>
      <c r="AF12" s="568"/>
      <c r="AG12" s="568"/>
    </row>
    <row r="13" spans="1:33" ht="15" customHeight="1" x14ac:dyDescent="0.3">
      <c r="A13" s="480"/>
      <c r="B13" s="1218" t="s">
        <v>390</v>
      </c>
      <c r="C13" s="1219"/>
      <c r="D13" s="1219"/>
      <c r="E13" s="1220"/>
      <c r="F13" s="667">
        <v>1</v>
      </c>
      <c r="G13" s="668">
        <v>0.68</v>
      </c>
      <c r="H13" s="642">
        <v>1000</v>
      </c>
      <c r="I13" s="643">
        <v>44752</v>
      </c>
      <c r="J13" s="654">
        <f t="shared" si="0"/>
        <v>0.68</v>
      </c>
      <c r="K13" s="1224" t="s">
        <v>498</v>
      </c>
      <c r="L13" s="1225"/>
      <c r="M13" s="1213">
        <f t="shared" si="1"/>
        <v>0.34</v>
      </c>
      <c r="N13" s="1214"/>
      <c r="O13" s="598"/>
      <c r="P13" s="598"/>
      <c r="Q13" s="598"/>
      <c r="R13" s="599"/>
      <c r="S13" s="624" t="b">
        <f t="shared" si="2"/>
        <v>1</v>
      </c>
      <c r="T13" s="622">
        <f t="shared" si="3"/>
        <v>7</v>
      </c>
      <c r="U13" s="603" t="s">
        <v>446</v>
      </c>
      <c r="V13" s="604"/>
      <c r="W13" s="604"/>
      <c r="X13" s="604"/>
      <c r="Y13" s="605"/>
      <c r="AA13" s="568"/>
      <c r="AB13" s="568"/>
      <c r="AC13" s="568"/>
      <c r="AD13" s="568"/>
      <c r="AE13" s="568"/>
      <c r="AF13" s="568"/>
      <c r="AG13" s="568"/>
    </row>
    <row r="14" spans="1:33" ht="15" customHeight="1" x14ac:dyDescent="0.3">
      <c r="A14" s="480"/>
      <c r="B14" s="1218" t="s">
        <v>391</v>
      </c>
      <c r="C14" s="1219"/>
      <c r="D14" s="1219"/>
      <c r="E14" s="1220"/>
      <c r="F14" s="667">
        <v>1</v>
      </c>
      <c r="G14" s="668">
        <v>0.53</v>
      </c>
      <c r="H14" s="642">
        <v>1000</v>
      </c>
      <c r="I14" s="643">
        <v>44662</v>
      </c>
      <c r="J14" s="654">
        <f t="shared" si="0"/>
        <v>0.63</v>
      </c>
      <c r="K14" s="1224" t="s">
        <v>35</v>
      </c>
      <c r="L14" s="1225"/>
      <c r="M14" s="1213">
        <f t="shared" si="1"/>
        <v>0.63</v>
      </c>
      <c r="N14" s="1214"/>
      <c r="O14" s="598"/>
      <c r="P14" s="598"/>
      <c r="Q14" s="598"/>
      <c r="R14" s="599"/>
      <c r="S14" s="624" t="b">
        <f t="shared" si="2"/>
        <v>0</v>
      </c>
      <c r="T14" s="622">
        <f t="shared" si="3"/>
        <v>4</v>
      </c>
      <c r="AA14" s="568"/>
      <c r="AB14" s="568"/>
      <c r="AC14" s="568"/>
      <c r="AD14" s="568"/>
      <c r="AE14" s="568"/>
      <c r="AF14" s="568"/>
      <c r="AG14" s="568"/>
    </row>
    <row r="15" spans="1:33" ht="15.75" customHeight="1" x14ac:dyDescent="0.3">
      <c r="A15" s="480"/>
      <c r="B15" s="1218" t="s">
        <v>392</v>
      </c>
      <c r="C15" s="1219"/>
      <c r="D15" s="1219"/>
      <c r="E15" s="1220"/>
      <c r="F15" s="667">
        <v>1</v>
      </c>
      <c r="G15" s="668">
        <v>0.73</v>
      </c>
      <c r="H15" s="642">
        <v>1000</v>
      </c>
      <c r="I15" s="643">
        <v>44754</v>
      </c>
      <c r="J15" s="654">
        <f t="shared" si="0"/>
        <v>0.73</v>
      </c>
      <c r="K15" s="1224" t="s">
        <v>35</v>
      </c>
      <c r="L15" s="1225"/>
      <c r="M15" s="1213">
        <f t="shared" si="1"/>
        <v>0.73</v>
      </c>
      <c r="N15" s="1214"/>
      <c r="O15" s="493"/>
      <c r="P15" s="493"/>
      <c r="Q15" s="606"/>
      <c r="R15" s="599"/>
      <c r="S15" s="624" t="b">
        <f t="shared" si="2"/>
        <v>1</v>
      </c>
      <c r="T15" s="622">
        <f t="shared" si="3"/>
        <v>7</v>
      </c>
      <c r="AA15" s="568"/>
      <c r="AB15" s="568"/>
      <c r="AC15" s="568"/>
      <c r="AD15" s="568"/>
      <c r="AE15" s="568"/>
      <c r="AF15" s="568"/>
      <c r="AG15" s="568"/>
    </row>
    <row r="16" spans="1:33" ht="15.75" customHeight="1" x14ac:dyDescent="0.3">
      <c r="A16" s="480"/>
      <c r="B16" s="1218" t="s">
        <v>447</v>
      </c>
      <c r="C16" s="1219"/>
      <c r="D16" s="1219"/>
      <c r="E16" s="1220"/>
      <c r="F16" s="667">
        <v>1</v>
      </c>
      <c r="G16" s="668">
        <v>1.38</v>
      </c>
      <c r="H16" s="642">
        <v>1000</v>
      </c>
      <c r="I16" s="643">
        <v>44755</v>
      </c>
      <c r="J16" s="654">
        <f t="shared" si="0"/>
        <v>1.38</v>
      </c>
      <c r="K16" s="1224" t="s">
        <v>35</v>
      </c>
      <c r="L16" s="1225"/>
      <c r="M16" s="1213">
        <f t="shared" si="1"/>
        <v>4.1399999999999997</v>
      </c>
      <c r="N16" s="1214"/>
      <c r="O16" s="493"/>
      <c r="P16" s="493"/>
      <c r="Q16" s="606"/>
      <c r="R16" s="599"/>
      <c r="S16" s="624" t="b">
        <f t="shared" si="2"/>
        <v>1</v>
      </c>
      <c r="T16" s="622">
        <f t="shared" si="3"/>
        <v>7</v>
      </c>
      <c r="AA16" s="568"/>
      <c r="AB16" s="568"/>
      <c r="AC16" s="568"/>
      <c r="AD16" s="568"/>
      <c r="AE16" s="568"/>
      <c r="AF16" s="568"/>
      <c r="AG16" s="568"/>
    </row>
    <row r="17" spans="1:33" ht="15.6" x14ac:dyDescent="0.3">
      <c r="A17" s="480"/>
      <c r="B17" s="1221"/>
      <c r="C17" s="1222"/>
      <c r="D17" s="1222"/>
      <c r="E17" s="1223"/>
      <c r="F17" s="650"/>
      <c r="G17" s="651"/>
      <c r="H17" s="642"/>
      <c r="I17" s="643"/>
      <c r="J17" s="619" t="str">
        <f t="shared" si="0"/>
        <v/>
      </c>
      <c r="K17" s="1224"/>
      <c r="L17" s="1225"/>
      <c r="M17" s="1213" t="str">
        <f t="shared" si="1"/>
        <v/>
      </c>
      <c r="N17" s="1214"/>
      <c r="O17" s="493"/>
      <c r="P17" s="493"/>
      <c r="Q17" s="606"/>
      <c r="R17" s="599"/>
      <c r="S17" s="624" t="b">
        <f t="shared" si="2"/>
        <v>0</v>
      </c>
      <c r="T17" s="622">
        <f t="shared" si="3"/>
        <v>1</v>
      </c>
      <c r="AA17" s="568"/>
      <c r="AB17" s="568"/>
      <c r="AC17" s="568"/>
      <c r="AD17" s="568"/>
      <c r="AE17" s="568"/>
      <c r="AF17" s="568"/>
      <c r="AG17" s="568"/>
    </row>
    <row r="18" spans="1:33" x14ac:dyDescent="0.3">
      <c r="A18" s="480"/>
      <c r="B18" s="1221"/>
      <c r="C18" s="1222"/>
      <c r="D18" s="1222"/>
      <c r="E18" s="1223"/>
      <c r="F18" s="650"/>
      <c r="G18" s="651"/>
      <c r="H18" s="642"/>
      <c r="I18" s="643"/>
      <c r="J18" s="619" t="str">
        <f t="shared" si="0"/>
        <v/>
      </c>
      <c r="K18" s="1224"/>
      <c r="L18" s="1225"/>
      <c r="M18" s="1213" t="str">
        <f t="shared" si="1"/>
        <v/>
      </c>
      <c r="N18" s="1214"/>
      <c r="O18" s="493"/>
      <c r="P18" s="493"/>
      <c r="Q18" s="493"/>
      <c r="R18" s="599"/>
      <c r="S18" s="624" t="b">
        <f t="shared" si="2"/>
        <v>0</v>
      </c>
      <c r="T18" s="622">
        <f t="shared" si="3"/>
        <v>1</v>
      </c>
      <c r="AA18" s="568"/>
      <c r="AB18" s="568"/>
      <c r="AC18" s="568"/>
      <c r="AD18" s="568"/>
      <c r="AE18" s="568"/>
      <c r="AF18" s="568"/>
      <c r="AG18" s="568"/>
    </row>
    <row r="19" spans="1:33" x14ac:dyDescent="0.3">
      <c r="A19" s="480"/>
      <c r="B19" s="1221"/>
      <c r="C19" s="1222"/>
      <c r="D19" s="1222"/>
      <c r="E19" s="1223"/>
      <c r="F19" s="650"/>
      <c r="G19" s="651"/>
      <c r="H19" s="642"/>
      <c r="I19" s="643"/>
      <c r="J19" s="619" t="str">
        <f t="shared" si="0"/>
        <v/>
      </c>
      <c r="K19" s="1224"/>
      <c r="L19" s="1225"/>
      <c r="M19" s="1213" t="str">
        <f t="shared" si="1"/>
        <v/>
      </c>
      <c r="N19" s="1214"/>
      <c r="O19" s="493"/>
      <c r="P19" s="493"/>
      <c r="Q19" s="493"/>
      <c r="R19" s="599"/>
      <c r="S19" s="624" t="b">
        <f t="shared" si="2"/>
        <v>0</v>
      </c>
      <c r="T19" s="622">
        <f t="shared" si="3"/>
        <v>1</v>
      </c>
      <c r="AA19" s="568"/>
      <c r="AB19" s="568"/>
      <c r="AC19" s="568"/>
      <c r="AD19" s="568"/>
      <c r="AE19" s="568"/>
      <c r="AF19" s="568"/>
      <c r="AG19" s="568"/>
    </row>
    <row r="20" spans="1:33" x14ac:dyDescent="0.3">
      <c r="A20" s="480"/>
      <c r="B20" s="1221"/>
      <c r="C20" s="1222"/>
      <c r="D20" s="1222"/>
      <c r="E20" s="1223"/>
      <c r="F20" s="650"/>
      <c r="G20" s="652"/>
      <c r="H20" s="644"/>
      <c r="I20" s="645"/>
      <c r="J20" s="619" t="str">
        <f t="shared" si="0"/>
        <v/>
      </c>
      <c r="K20" s="1224"/>
      <c r="L20" s="1225"/>
      <c r="M20" s="1213" t="str">
        <f t="shared" si="1"/>
        <v/>
      </c>
      <c r="N20" s="1214"/>
      <c r="O20" s="493"/>
      <c r="P20" s="493"/>
      <c r="Q20" s="493"/>
      <c r="R20" s="599"/>
      <c r="S20" s="624" t="b">
        <f t="shared" si="2"/>
        <v>0</v>
      </c>
      <c r="T20" s="623">
        <f t="shared" si="3"/>
        <v>1</v>
      </c>
      <c r="AA20" s="568"/>
      <c r="AB20" s="568"/>
      <c r="AC20" s="568"/>
      <c r="AD20" s="568"/>
      <c r="AE20" s="568"/>
      <c r="AF20" s="568"/>
      <c r="AG20" s="568"/>
    </row>
    <row r="21" spans="1:33" ht="19.5" customHeight="1" thickBot="1" x14ac:dyDescent="0.35">
      <c r="A21" s="480"/>
      <c r="B21" s="1208" t="s">
        <v>393</v>
      </c>
      <c r="C21" s="1209"/>
      <c r="D21" s="1209"/>
      <c r="E21" s="1210"/>
      <c r="F21" s="653">
        <f>SUM(F9:F20)</f>
        <v>8</v>
      </c>
      <c r="G21" s="1215"/>
      <c r="H21" s="1216"/>
      <c r="I21" s="1216"/>
      <c r="J21" s="1216"/>
      <c r="K21" s="1216"/>
      <c r="L21" s="1216"/>
      <c r="M21" s="1216"/>
      <c r="N21" s="1217"/>
      <c r="O21" s="607"/>
      <c r="P21" s="493"/>
      <c r="Q21" s="493"/>
      <c r="R21" s="599"/>
      <c r="U21" s="608"/>
      <c r="AA21" s="568"/>
      <c r="AB21" s="568"/>
      <c r="AC21" s="568"/>
      <c r="AD21" s="568"/>
      <c r="AE21" s="568"/>
      <c r="AF21" s="568"/>
      <c r="AG21" s="568"/>
    </row>
    <row r="22" spans="1:33" ht="21.75" customHeight="1" x14ac:dyDescent="0.3">
      <c r="A22" s="480"/>
      <c r="B22" s="1197" t="s">
        <v>394</v>
      </c>
      <c r="C22" s="1198"/>
      <c r="D22" s="1198"/>
      <c r="E22" s="1198"/>
      <c r="F22" s="1198"/>
      <c r="G22" s="1198"/>
      <c r="H22" s="1198"/>
      <c r="I22" s="1198"/>
      <c r="J22" s="1198"/>
      <c r="K22" s="1198"/>
      <c r="L22" s="1198"/>
      <c r="M22" s="1198"/>
      <c r="N22" s="1199"/>
      <c r="O22" s="609"/>
      <c r="P22" s="599"/>
      <c r="Q22" s="595"/>
      <c r="Y22" s="568"/>
      <c r="Z22" s="568"/>
      <c r="AA22" s="568"/>
      <c r="AB22" s="568"/>
      <c r="AC22" s="568"/>
      <c r="AD22" s="568"/>
      <c r="AE22" s="568"/>
    </row>
    <row r="23" spans="1:33" ht="26.25" customHeight="1" thickBot="1" x14ac:dyDescent="0.35">
      <c r="A23" s="480"/>
      <c r="B23" s="1202" t="s">
        <v>574</v>
      </c>
      <c r="C23" s="1203"/>
      <c r="D23" s="1203"/>
      <c r="E23" s="1203"/>
      <c r="F23" s="1203"/>
      <c r="G23" s="1203"/>
      <c r="H23" s="1203"/>
      <c r="I23" s="1203"/>
      <c r="J23" s="1203"/>
      <c r="K23" s="1203"/>
      <c r="L23" s="1204"/>
      <c r="M23" s="1200">
        <f>SUM(M9:M20)</f>
        <v>8.3099999999999987</v>
      </c>
      <c r="N23" s="1201"/>
      <c r="O23" s="610"/>
      <c r="P23" s="611"/>
      <c r="Q23" s="585"/>
      <c r="R23" s="568"/>
      <c r="S23" s="568"/>
      <c r="T23" s="568"/>
      <c r="U23" s="568"/>
      <c r="V23" s="568"/>
      <c r="W23" s="568"/>
      <c r="X23" s="568"/>
      <c r="Y23" s="568"/>
      <c r="Z23" s="568"/>
      <c r="AA23" s="568"/>
      <c r="AB23" s="568"/>
      <c r="AC23" s="568"/>
      <c r="AD23" s="568"/>
      <c r="AE23" s="568"/>
    </row>
    <row r="24" spans="1:33" x14ac:dyDescent="0.3">
      <c r="A24" s="480"/>
      <c r="B24" s="480"/>
      <c r="C24" s="480"/>
      <c r="D24" s="480"/>
      <c r="E24" s="480"/>
      <c r="F24" s="480"/>
      <c r="G24" s="480"/>
      <c r="H24" s="480"/>
      <c r="I24" s="480"/>
      <c r="J24" s="480"/>
      <c r="K24" s="480"/>
      <c r="L24" s="480"/>
      <c r="M24" s="480"/>
      <c r="N24" s="480"/>
      <c r="O24" s="503"/>
    </row>
    <row r="25" spans="1:33" ht="18" hidden="1" x14ac:dyDescent="0.35">
      <c r="A25" s="480"/>
      <c r="B25" s="480"/>
      <c r="C25" s="480"/>
      <c r="D25" s="480"/>
      <c r="E25" s="480"/>
      <c r="F25" s="481"/>
      <c r="G25" s="481"/>
      <c r="H25" s="480"/>
      <c r="I25" s="480"/>
      <c r="J25" s="480"/>
      <c r="K25" s="480"/>
      <c r="L25" s="480"/>
      <c r="M25" s="480"/>
      <c r="N25" s="480"/>
      <c r="O25" s="503"/>
    </row>
    <row r="26" spans="1:33" hidden="1" x14ac:dyDescent="0.3">
      <c r="A26" s="480"/>
      <c r="B26" s="480"/>
      <c r="C26" s="480"/>
      <c r="D26" s="480"/>
      <c r="E26" s="480"/>
      <c r="F26" s="480"/>
      <c r="G26" s="480"/>
      <c r="H26" s="480"/>
      <c r="I26" s="480"/>
      <c r="J26" s="480"/>
      <c r="K26" s="480"/>
      <c r="L26" s="480"/>
      <c r="M26" s="480"/>
      <c r="N26" s="480"/>
      <c r="O26" s="503"/>
    </row>
  </sheetData>
  <sheetProtection algorithmName="SHA-512" hashValue="UmNlPPYIIhWP91pw5KZcvGgqcNlTGuHp5Iz851KC++M0EXjrtFMnV0MkWUSbxQyyIXCwFFS/XlX5xXV5BZ5C4w==" saltValue="3l+YL5Mu3Nxv7YFlRYmpkw==" spinCount="100000" sheet="1" objects="1" scenarios="1"/>
  <mergeCells count="55">
    <mergeCell ref="C6:N6"/>
    <mergeCell ref="B5:G5"/>
    <mergeCell ref="H5:N5"/>
    <mergeCell ref="B2:D2"/>
    <mergeCell ref="E2:N2"/>
    <mergeCell ref="B3:F3"/>
    <mergeCell ref="H3:J3"/>
    <mergeCell ref="L3:N3"/>
    <mergeCell ref="B4:G4"/>
    <mergeCell ref="H4:N4"/>
    <mergeCell ref="B13:E13"/>
    <mergeCell ref="B14:E14"/>
    <mergeCell ref="B15:E15"/>
    <mergeCell ref="K8:L8"/>
    <mergeCell ref="K9:L9"/>
    <mergeCell ref="B9:E9"/>
    <mergeCell ref="B8:E8"/>
    <mergeCell ref="B10:E10"/>
    <mergeCell ref="B11:E11"/>
    <mergeCell ref="B12:E12"/>
    <mergeCell ref="K10:L10"/>
    <mergeCell ref="K11:L11"/>
    <mergeCell ref="K12:L12"/>
    <mergeCell ref="K13:L13"/>
    <mergeCell ref="K14:L14"/>
    <mergeCell ref="K15:L15"/>
    <mergeCell ref="M19:N19"/>
    <mergeCell ref="M20:N20"/>
    <mergeCell ref="G21:N21"/>
    <mergeCell ref="B16:E16"/>
    <mergeCell ref="B17:E17"/>
    <mergeCell ref="B18:E18"/>
    <mergeCell ref="B19:E19"/>
    <mergeCell ref="B20:E20"/>
    <mergeCell ref="K20:L20"/>
    <mergeCell ref="K16:L16"/>
    <mergeCell ref="K17:L17"/>
    <mergeCell ref="K18:L18"/>
    <mergeCell ref="K19:L19"/>
    <mergeCell ref="B22:N22"/>
    <mergeCell ref="M23:N23"/>
    <mergeCell ref="B23:L23"/>
    <mergeCell ref="B7:N7"/>
    <mergeCell ref="B21:E21"/>
    <mergeCell ref="M8:N8"/>
    <mergeCell ref="M9:N9"/>
    <mergeCell ref="M10:N10"/>
    <mergeCell ref="M11:N11"/>
    <mergeCell ref="M12:N12"/>
    <mergeCell ref="M13:N13"/>
    <mergeCell ref="M14:N14"/>
    <mergeCell ref="M15:N15"/>
    <mergeCell ref="M16:N16"/>
    <mergeCell ref="M17:N17"/>
    <mergeCell ref="M18:N18"/>
  </mergeCells>
  <conditionalFormatting sqref="G9:G20">
    <cfRule type="cellIs" dxfId="7" priority="1" operator="greaterThan">
      <formula>1</formula>
    </cfRule>
  </conditionalFormatting>
  <dataValidations disablePrompts="1" count="11">
    <dataValidation type="list" allowBlank="1" showInputMessage="1" showErrorMessage="1" sqref="H5:N5" xr:uid="{7B940DD8-5FA2-4C23-A5B0-7BE188A390A1}">
      <formula1>$U$9:$U$13</formula1>
    </dataValidation>
    <dataValidation type="decimal" allowBlank="1" showInputMessage="1" showErrorMessage="1" errorTitle="Out of range" error="Enter a longitude within West Virginia, in decimal degrees." sqref="L3:N3" xr:uid="{9A4ADE06-4678-455C-90ED-F484A02B30C4}">
      <formula1>-83</formula1>
      <formula2>-76</formula2>
    </dataValidation>
    <dataValidation type="decimal" allowBlank="1" showInputMessage="1" showErrorMessage="1" errorTitle="Out of range" error="Enter a latitude within West Virginia, in decimal degrees." sqref="H3:J3" xr:uid="{4876016B-503D-4412-A6F1-66AD9AC5CCA8}">
      <formula1>37</formula1>
      <formula2>41</formula2>
    </dataValidation>
    <dataValidation type="textLength" allowBlank="1" showInputMessage="1" showErrorMessage="1" errorTitle="Advanced Mitigation Error" error="Enter Y or N" sqref="Q15:Q17" xr:uid="{2A579435-8724-463B-BE6C-29A7F77A4526}">
      <formula1>0</formula1>
      <formula2>1</formula2>
    </dataValidation>
    <dataValidation type="list" allowBlank="1" showInputMessage="1" showErrorMessage="1" errorTitle="Function Score Error" error="Enter a value between 0 and 2." sqref="K9:K20" xr:uid="{D50FE819-7710-4485-B0E5-0DE90C50182B}">
      <formula1>"Emergent, Scrub-shrub, Forested, Open water, Conversion"</formula1>
    </dataValidation>
    <dataValidation type="date" operator="greaterThan" allowBlank="1" showInputMessage="1" showErrorMessage="1" sqref="C6" xr:uid="{8A160EC1-B2B2-4DC2-B6FD-8AC32AD34DEE}">
      <formula1>1</formula1>
    </dataValidation>
    <dataValidation type="decimal" allowBlank="1" showInputMessage="1" showErrorMessage="1" errorTitle="Acreage Error" error="Enter the number of acres." sqref="F9:F20" xr:uid="{065A1B95-BC2B-4953-8008-8B5A74861672}">
      <formula1>0</formula1>
      <formula2>100000</formula2>
    </dataValidation>
    <dataValidation type="decimal" allowBlank="1" showInputMessage="1" showErrorMessage="1" errorTitle="Function Score Error" error="Enter a value between 0 and 2." sqref="F9:G20" xr:uid="{3F73FFDF-0844-4C85-9D17-077BA82B30B5}">
      <formula1>0</formula1>
      <formula2>2</formula2>
    </dataValidation>
    <dataValidation type="decimal" allowBlank="1" showInputMessage="1" showErrorMessage="1" error="Enter a score between 0-2." sqref="G9:G20" xr:uid="{EFA3FF1D-48DA-49B8-A518-D60EB7C31C55}">
      <formula1>0</formula1>
      <formula2>2</formula2>
    </dataValidation>
    <dataValidation type="whole" allowBlank="1" showInputMessage="1" showErrorMessage="1" errorTitle="Elevation Error" error="Elevation must be between 300 and 4900 ft." sqref="H9:H20" xr:uid="{BC30BDE9-1583-4DD0-B7A4-AF4707599697}">
      <formula1>300</formula1>
      <formula2>4900</formula2>
    </dataValidation>
    <dataValidation type="date" operator="greaterThan" allowBlank="1" showInputMessage="1" showErrorMessage="1" errorTitle="Survey Date Error" error="Enter a date." sqref="I9:I20" xr:uid="{4D3A74D8-7B6B-4F5A-AC3F-A1BCA57E794A}">
      <formula1>36526</formula1>
    </dataValidation>
  </dataValidations>
  <pageMargins left="0.7" right="0.7" top="0.75" bottom="0.75" header="0.3" footer="0.3"/>
  <pageSetup orientation="landscape" r:id="rId1"/>
  <headerFooter>
    <oddHeader>&amp;C&amp;"-,Bold"Wetlands Part I-II&amp;"-,Regular"&amp;9
West Virginia Stream and Wetland Valuation Metric (SWVM) 7-30-24, Adapted from Version 12-02-2022 wetlands working draft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C107-F0DE-4495-BCFB-C99200CD7696}">
  <dimension ref="A1:AF28"/>
  <sheetViews>
    <sheetView view="pageLayout" zoomScaleNormal="100" workbookViewId="0">
      <selection activeCell="I4" sqref="I4"/>
    </sheetView>
  </sheetViews>
  <sheetFormatPr defaultColWidth="0" defaultRowHeight="14.4" zeroHeight="1" x14ac:dyDescent="0.3"/>
  <cols>
    <col min="1" max="1" width="0.33203125" style="429" customWidth="1"/>
    <col min="2" max="2" width="14.33203125" style="429" customWidth="1"/>
    <col min="3" max="3" width="12" style="429" customWidth="1"/>
    <col min="4" max="4" width="9.44140625" style="429" customWidth="1"/>
    <col min="5" max="6" width="8.6640625" style="429" customWidth="1"/>
    <col min="7" max="7" width="9" style="429" customWidth="1"/>
    <col min="8" max="8" width="10" style="429" customWidth="1"/>
    <col min="9" max="9" width="7.109375" style="429" customWidth="1"/>
    <col min="10" max="10" width="10.5546875" style="429" customWidth="1"/>
    <col min="11" max="11" width="7.44140625" style="429" customWidth="1"/>
    <col min="12" max="12" width="10.77734375" style="429" customWidth="1"/>
    <col min="13" max="13" width="7.33203125" style="429" customWidth="1"/>
    <col min="14" max="14" width="7.109375" style="429" customWidth="1"/>
    <col min="15" max="15" width="0.109375" style="429" customWidth="1"/>
    <col min="16" max="16" width="0.5546875" style="429" customWidth="1"/>
    <col min="17" max="17" width="5.6640625" style="429" hidden="1" customWidth="1"/>
    <col min="18" max="19" width="5.88671875" style="429" hidden="1" customWidth="1"/>
    <col min="20" max="20" width="8" style="429" hidden="1" customWidth="1"/>
    <col min="21" max="21" width="8.44140625" style="429" hidden="1" customWidth="1"/>
    <col min="22" max="22" width="8.33203125" style="429" hidden="1" customWidth="1"/>
    <col min="23" max="23" width="8.5546875" style="429" hidden="1" customWidth="1"/>
    <col min="24" max="24" width="8.33203125" style="429" hidden="1" customWidth="1"/>
    <col min="25" max="25" width="8.6640625" style="429" hidden="1" customWidth="1"/>
    <col min="26" max="26" width="7.6640625" style="429" hidden="1" customWidth="1"/>
    <col min="27" max="27" width="7.88671875" style="429" hidden="1" customWidth="1"/>
    <col min="28" max="28" width="10.6640625" style="429" hidden="1" customWidth="1"/>
    <col min="29" max="32" width="0" style="429" hidden="1" customWidth="1"/>
    <col min="33" max="16384" width="8.88671875" style="429" hidden="1"/>
  </cols>
  <sheetData>
    <row r="1" spans="1:30" ht="6" customHeight="1" x14ac:dyDescent="0.3">
      <c r="A1" s="480"/>
      <c r="B1" s="480"/>
      <c r="C1" s="480"/>
      <c r="D1" s="480"/>
      <c r="E1" s="480"/>
      <c r="F1" s="480"/>
      <c r="G1" s="480"/>
      <c r="H1" s="480"/>
      <c r="I1" s="480"/>
      <c r="J1" s="480"/>
      <c r="K1" s="480"/>
      <c r="L1" s="480"/>
      <c r="M1" s="480"/>
      <c r="N1" s="480"/>
      <c r="O1" s="480"/>
      <c r="P1" s="480"/>
    </row>
    <row r="2" spans="1:30" ht="30.6" customHeight="1" x14ac:dyDescent="0.3">
      <c r="A2" s="480"/>
      <c r="B2" s="1259" t="s">
        <v>522</v>
      </c>
      <c r="C2" s="1260"/>
      <c r="D2" s="1260"/>
      <c r="E2" s="1260"/>
      <c r="F2" s="1260"/>
      <c r="G2" s="1261"/>
      <c r="H2" s="491"/>
      <c r="I2" s="491"/>
      <c r="J2" s="557"/>
      <c r="K2" s="491"/>
      <c r="L2" s="491"/>
      <c r="M2" s="491"/>
      <c r="N2" s="492"/>
      <c r="O2" s="492"/>
      <c r="P2" s="492"/>
      <c r="Q2" s="431"/>
    </row>
    <row r="3" spans="1:30" ht="57" customHeight="1" x14ac:dyDescent="0.3">
      <c r="A3" s="480"/>
      <c r="B3" s="485" t="s">
        <v>396</v>
      </c>
      <c r="C3" s="485" t="s">
        <v>397</v>
      </c>
      <c r="D3" s="483" t="s">
        <v>473</v>
      </c>
      <c r="E3" s="483" t="s">
        <v>461</v>
      </c>
      <c r="F3" s="483" t="s">
        <v>462</v>
      </c>
      <c r="G3" s="486" t="s">
        <v>398</v>
      </c>
      <c r="H3" s="487" t="s">
        <v>448</v>
      </c>
      <c r="I3" s="487" t="s">
        <v>449</v>
      </c>
      <c r="J3" s="487" t="s">
        <v>450</v>
      </c>
      <c r="K3" s="487" t="s">
        <v>451</v>
      </c>
      <c r="L3" s="487" t="s">
        <v>452</v>
      </c>
      <c r="M3" s="487" t="s">
        <v>453</v>
      </c>
      <c r="N3" s="561" t="s">
        <v>399</v>
      </c>
      <c r="O3" s="562"/>
      <c r="P3" s="480"/>
      <c r="Q3" s="432" t="s">
        <v>400</v>
      </c>
      <c r="R3" s="432" t="s">
        <v>401</v>
      </c>
      <c r="S3" s="432" t="s">
        <v>402</v>
      </c>
      <c r="T3" s="432" t="s">
        <v>403</v>
      </c>
      <c r="U3" s="432" t="s">
        <v>404</v>
      </c>
      <c r="V3" s="432" t="s">
        <v>405</v>
      </c>
      <c r="W3" s="433"/>
    </row>
    <row r="4" spans="1:30" ht="33" customHeight="1" x14ac:dyDescent="0.3">
      <c r="A4" s="480"/>
      <c r="B4" s="663" t="s">
        <v>517</v>
      </c>
      <c r="C4" s="646" t="s">
        <v>406</v>
      </c>
      <c r="D4" s="655">
        <v>10</v>
      </c>
      <c r="E4" s="655">
        <v>0</v>
      </c>
      <c r="F4" s="655">
        <v>0.62</v>
      </c>
      <c r="G4" s="656">
        <f>IF(C4="Preservation", (D4*E4)/10, D4*(F4-E4))</f>
        <v>6.2</v>
      </c>
      <c r="H4" s="647" t="s">
        <v>503</v>
      </c>
      <c r="I4" s="658">
        <v>0.6</v>
      </c>
      <c r="J4" s="648" t="s">
        <v>502</v>
      </c>
      <c r="K4" s="658">
        <v>0.5</v>
      </c>
      <c r="L4" s="649" t="s">
        <v>502</v>
      </c>
      <c r="M4" s="655">
        <v>0.1</v>
      </c>
      <c r="N4" s="660">
        <f t="shared" ref="N4:N15" si="0">G4*(T4+U4+V4)</f>
        <v>0.88970000000000016</v>
      </c>
      <c r="O4" s="489"/>
      <c r="P4" s="480"/>
      <c r="Q4" s="484">
        <f>IF(H4=$U$24,AA$24,IF(H4=$U$25,AA$25,IF(H4=$U$26,AA$26,0)))</f>
        <v>0.17499999999999999</v>
      </c>
      <c r="R4" s="484">
        <f>IF(J4=$U$24,AB$24,IF(J4=$U$25,AB$25,IF(J4=$U$26,AB$26,0)))</f>
        <v>7.0000000000000007E-2</v>
      </c>
      <c r="S4" s="484">
        <f>IF(L4=$U$24,AC$24,IF(L4=$U$25,AC$25,IF(L4=$U$26,AC$26,0)))</f>
        <v>3.5000000000000003E-2</v>
      </c>
      <c r="T4" s="484">
        <f t="shared" ref="T4:T15" si="1">I4*Q4</f>
        <v>0.105</v>
      </c>
      <c r="U4" s="484">
        <f>K4*R4</f>
        <v>3.5000000000000003E-2</v>
      </c>
      <c r="V4" s="484">
        <f t="shared" ref="V4:V15" si="2">M4*S4</f>
        <v>3.5000000000000005E-3</v>
      </c>
      <c r="W4" s="434"/>
    </row>
    <row r="5" spans="1:30" ht="33" customHeight="1" x14ac:dyDescent="0.3">
      <c r="A5" s="480"/>
      <c r="B5" s="663" t="s">
        <v>519</v>
      </c>
      <c r="C5" s="646" t="s">
        <v>75</v>
      </c>
      <c r="D5" s="655">
        <v>10</v>
      </c>
      <c r="E5" s="655">
        <v>0.41</v>
      </c>
      <c r="F5" s="655">
        <v>0.61</v>
      </c>
      <c r="G5" s="656">
        <f>IF(C5="Preservation", (D5*E5)/10, D5*(F5-E5))</f>
        <v>2</v>
      </c>
      <c r="H5" s="648" t="s">
        <v>73</v>
      </c>
      <c r="I5" s="658">
        <v>1</v>
      </c>
      <c r="J5" s="648" t="s">
        <v>502</v>
      </c>
      <c r="K5" s="658">
        <v>1</v>
      </c>
      <c r="L5" s="649" t="s">
        <v>503</v>
      </c>
      <c r="M5" s="655">
        <v>0.1</v>
      </c>
      <c r="N5" s="660">
        <f t="shared" si="0"/>
        <v>0.34875</v>
      </c>
      <c r="O5" s="489"/>
      <c r="P5" s="480"/>
      <c r="Q5" s="484">
        <f t="shared" ref="Q5:Q15" si="3">IF(H5=$U$24,AA$24,IF(H5=$U$25,AA$25,IF(H5=$U$26,AA$26,0)))</f>
        <v>0.1</v>
      </c>
      <c r="R5" s="484">
        <f t="shared" ref="R5:R15" si="4">IF(J5=$U$24,AB$24,IF(J5=$U$25,AB$25,IF(J5=$U$26,AB$26,0)))</f>
        <v>7.0000000000000007E-2</v>
      </c>
      <c r="S5" s="484">
        <f t="shared" ref="S5:S15" si="5">IF(L5=$U$24,AC$24,IF(L5=$U$25,AC$25,IF(L5=$U$26,AC$26,0)))</f>
        <v>4.3749999999999997E-2</v>
      </c>
      <c r="T5" s="484">
        <f t="shared" si="1"/>
        <v>0.1</v>
      </c>
      <c r="U5" s="484">
        <f t="shared" ref="U5:U15" si="6">K5*R5</f>
        <v>7.0000000000000007E-2</v>
      </c>
      <c r="V5" s="484">
        <f t="shared" si="2"/>
        <v>4.3749999999999995E-3</v>
      </c>
      <c r="W5" s="434"/>
    </row>
    <row r="6" spans="1:30" ht="33" customHeight="1" x14ac:dyDescent="0.3">
      <c r="A6" s="480"/>
      <c r="B6" s="663" t="s">
        <v>518</v>
      </c>
      <c r="C6" s="646" t="s">
        <v>73</v>
      </c>
      <c r="D6" s="655">
        <v>10</v>
      </c>
      <c r="E6" s="655">
        <v>0.65</v>
      </c>
      <c r="F6" s="655">
        <v>0.65</v>
      </c>
      <c r="G6" s="656">
        <f>IF(C6="Preservation", (D6*E6)/10, D6*(F6-E6))</f>
        <v>0.65</v>
      </c>
      <c r="H6" s="648" t="s">
        <v>73</v>
      </c>
      <c r="I6" s="658">
        <v>1</v>
      </c>
      <c r="J6" s="648" t="s">
        <v>73</v>
      </c>
      <c r="K6" s="658">
        <v>0.85</v>
      </c>
      <c r="L6" s="649" t="s">
        <v>84</v>
      </c>
      <c r="M6" s="655"/>
      <c r="N6" s="660">
        <f t="shared" si="0"/>
        <v>9.2625000000000013E-2</v>
      </c>
      <c r="O6" s="489"/>
      <c r="P6" s="480"/>
      <c r="Q6" s="484">
        <f t="shared" si="3"/>
        <v>0.1</v>
      </c>
      <c r="R6" s="484">
        <f t="shared" si="4"/>
        <v>0.05</v>
      </c>
      <c r="S6" s="484">
        <f t="shared" si="5"/>
        <v>0</v>
      </c>
      <c r="T6" s="484">
        <f t="shared" si="1"/>
        <v>0.1</v>
      </c>
      <c r="U6" s="484">
        <f t="shared" si="6"/>
        <v>4.2500000000000003E-2</v>
      </c>
      <c r="V6" s="484">
        <f t="shared" si="2"/>
        <v>0</v>
      </c>
      <c r="W6" s="434"/>
    </row>
    <row r="7" spans="1:30" ht="33" customHeight="1" x14ac:dyDescent="0.3">
      <c r="A7" s="480"/>
      <c r="B7" s="663"/>
      <c r="C7" s="646"/>
      <c r="D7" s="655"/>
      <c r="E7" s="655"/>
      <c r="F7" s="655"/>
      <c r="G7" s="656">
        <f>IF(C7="Preservation", (D7*E7)/10, D7*(F7-E7))</f>
        <v>0</v>
      </c>
      <c r="H7" s="648"/>
      <c r="I7" s="658"/>
      <c r="J7" s="648"/>
      <c r="K7" s="658"/>
      <c r="L7" s="649"/>
      <c r="M7" s="655"/>
      <c r="N7" s="660">
        <f t="shared" si="0"/>
        <v>0</v>
      </c>
      <c r="O7" s="489"/>
      <c r="P7" s="480"/>
      <c r="Q7" s="484">
        <f t="shared" si="3"/>
        <v>0</v>
      </c>
      <c r="R7" s="484">
        <f t="shared" si="4"/>
        <v>0</v>
      </c>
      <c r="S7" s="484">
        <f t="shared" si="5"/>
        <v>0</v>
      </c>
      <c r="T7" s="484">
        <f t="shared" si="1"/>
        <v>0</v>
      </c>
      <c r="U7" s="484">
        <f t="shared" si="6"/>
        <v>0</v>
      </c>
      <c r="V7" s="484">
        <f t="shared" si="2"/>
        <v>0</v>
      </c>
      <c r="W7" s="434"/>
    </row>
    <row r="8" spans="1:30" ht="33" customHeight="1" x14ac:dyDescent="0.3">
      <c r="A8" s="480"/>
      <c r="B8" s="663"/>
      <c r="C8" s="646"/>
      <c r="D8" s="655"/>
      <c r="E8" s="655"/>
      <c r="F8" s="655"/>
      <c r="G8" s="656">
        <f t="shared" ref="G8:G15" si="7">IF(C8="Preservation", (D8*E8)/10, D8*(F8-E8))</f>
        <v>0</v>
      </c>
      <c r="H8" s="648"/>
      <c r="I8" s="658"/>
      <c r="J8" s="648"/>
      <c r="K8" s="658"/>
      <c r="L8" s="649"/>
      <c r="M8" s="655"/>
      <c r="N8" s="660">
        <f t="shared" si="0"/>
        <v>0</v>
      </c>
      <c r="O8" s="489"/>
      <c r="P8" s="480"/>
      <c r="Q8" s="484">
        <f t="shared" si="3"/>
        <v>0</v>
      </c>
      <c r="R8" s="484">
        <f t="shared" si="4"/>
        <v>0</v>
      </c>
      <c r="S8" s="484">
        <f t="shared" si="5"/>
        <v>0</v>
      </c>
      <c r="T8" s="484">
        <f t="shared" si="1"/>
        <v>0</v>
      </c>
      <c r="U8" s="484">
        <f t="shared" si="6"/>
        <v>0</v>
      </c>
      <c r="V8" s="484">
        <f t="shared" si="2"/>
        <v>0</v>
      </c>
      <c r="W8" s="434"/>
    </row>
    <row r="9" spans="1:30" ht="33" customHeight="1" x14ac:dyDescent="0.3">
      <c r="A9" s="480"/>
      <c r="B9" s="663"/>
      <c r="C9" s="646"/>
      <c r="D9" s="655"/>
      <c r="E9" s="655"/>
      <c r="F9" s="655"/>
      <c r="G9" s="656">
        <f t="shared" si="7"/>
        <v>0</v>
      </c>
      <c r="H9" s="648"/>
      <c r="I9" s="658"/>
      <c r="J9" s="648"/>
      <c r="K9" s="658"/>
      <c r="L9" s="649"/>
      <c r="M9" s="655"/>
      <c r="N9" s="660">
        <f t="shared" si="0"/>
        <v>0</v>
      </c>
      <c r="O9" s="489"/>
      <c r="P9" s="480"/>
      <c r="Q9" s="484">
        <f t="shared" si="3"/>
        <v>0</v>
      </c>
      <c r="R9" s="484">
        <f t="shared" si="4"/>
        <v>0</v>
      </c>
      <c r="S9" s="484">
        <f t="shared" si="5"/>
        <v>0</v>
      </c>
      <c r="T9" s="484">
        <f t="shared" si="1"/>
        <v>0</v>
      </c>
      <c r="U9" s="484">
        <f t="shared" si="6"/>
        <v>0</v>
      </c>
      <c r="V9" s="484">
        <f t="shared" si="2"/>
        <v>0</v>
      </c>
      <c r="W9" s="434"/>
    </row>
    <row r="10" spans="1:30" ht="33" customHeight="1" x14ac:dyDescent="0.3">
      <c r="A10" s="480"/>
      <c r="B10" s="663"/>
      <c r="C10" s="646"/>
      <c r="D10" s="655"/>
      <c r="E10" s="655"/>
      <c r="F10" s="655"/>
      <c r="G10" s="656">
        <f t="shared" si="7"/>
        <v>0</v>
      </c>
      <c r="H10" s="648"/>
      <c r="I10" s="658"/>
      <c r="J10" s="648"/>
      <c r="K10" s="658"/>
      <c r="L10" s="649"/>
      <c r="M10" s="655"/>
      <c r="N10" s="660">
        <f t="shared" si="0"/>
        <v>0</v>
      </c>
      <c r="O10" s="489"/>
      <c r="P10" s="480"/>
      <c r="Q10" s="484">
        <f t="shared" si="3"/>
        <v>0</v>
      </c>
      <c r="R10" s="484">
        <f t="shared" si="4"/>
        <v>0</v>
      </c>
      <c r="S10" s="484">
        <f t="shared" si="5"/>
        <v>0</v>
      </c>
      <c r="T10" s="484">
        <f t="shared" si="1"/>
        <v>0</v>
      </c>
      <c r="U10" s="484">
        <f t="shared" si="6"/>
        <v>0</v>
      </c>
      <c r="V10" s="484">
        <f t="shared" si="2"/>
        <v>0</v>
      </c>
      <c r="W10" s="434"/>
      <c r="X10" s="435" t="s">
        <v>454</v>
      </c>
      <c r="Y10" s="436"/>
      <c r="Z10" s="437"/>
      <c r="AA10" s="437" t="s">
        <v>29</v>
      </c>
      <c r="AB10" s="438"/>
      <c r="AC10" s="438"/>
      <c r="AD10" s="439"/>
    </row>
    <row r="11" spans="1:30" ht="33" customHeight="1" x14ac:dyDescent="0.3">
      <c r="A11" s="480"/>
      <c r="B11" s="663"/>
      <c r="C11" s="646"/>
      <c r="D11" s="655"/>
      <c r="E11" s="655"/>
      <c r="F11" s="655"/>
      <c r="G11" s="656">
        <f t="shared" si="7"/>
        <v>0</v>
      </c>
      <c r="H11" s="648"/>
      <c r="I11" s="658"/>
      <c r="J11" s="648"/>
      <c r="K11" s="658"/>
      <c r="L11" s="649"/>
      <c r="M11" s="655"/>
      <c r="N11" s="660">
        <f t="shared" si="0"/>
        <v>0</v>
      </c>
      <c r="O11" s="489"/>
      <c r="P11" s="480"/>
      <c r="Q11" s="484">
        <f t="shared" si="3"/>
        <v>0</v>
      </c>
      <c r="R11" s="484">
        <f t="shared" si="4"/>
        <v>0</v>
      </c>
      <c r="S11" s="484">
        <f t="shared" si="5"/>
        <v>0</v>
      </c>
      <c r="T11" s="484">
        <f t="shared" si="1"/>
        <v>0</v>
      </c>
      <c r="U11" s="484">
        <f t="shared" si="6"/>
        <v>0</v>
      </c>
      <c r="V11" s="484">
        <f t="shared" si="2"/>
        <v>0</v>
      </c>
      <c r="W11" s="434"/>
      <c r="X11" s="440" t="s">
        <v>455</v>
      </c>
      <c r="Y11" s="441"/>
      <c r="Z11" s="442"/>
      <c r="AA11" s="442" t="s">
        <v>31</v>
      </c>
      <c r="AB11" s="443"/>
      <c r="AC11" s="443"/>
      <c r="AD11" s="444"/>
    </row>
    <row r="12" spans="1:30" ht="33" customHeight="1" x14ac:dyDescent="0.3">
      <c r="A12" s="480"/>
      <c r="B12" s="663"/>
      <c r="C12" s="646"/>
      <c r="D12" s="655"/>
      <c r="E12" s="655"/>
      <c r="F12" s="655"/>
      <c r="G12" s="656">
        <f t="shared" si="7"/>
        <v>0</v>
      </c>
      <c r="H12" s="648"/>
      <c r="I12" s="658"/>
      <c r="J12" s="648"/>
      <c r="K12" s="658"/>
      <c r="L12" s="649"/>
      <c r="M12" s="655"/>
      <c r="N12" s="660">
        <f t="shared" si="0"/>
        <v>0</v>
      </c>
      <c r="O12" s="489"/>
      <c r="P12" s="480"/>
      <c r="Q12" s="484">
        <f t="shared" si="3"/>
        <v>0</v>
      </c>
      <c r="R12" s="484">
        <f t="shared" si="4"/>
        <v>0</v>
      </c>
      <c r="S12" s="484">
        <f t="shared" si="5"/>
        <v>0</v>
      </c>
      <c r="T12" s="484">
        <f t="shared" si="1"/>
        <v>0</v>
      </c>
      <c r="U12" s="484">
        <f t="shared" si="6"/>
        <v>0</v>
      </c>
      <c r="V12" s="484">
        <f t="shared" si="2"/>
        <v>0</v>
      </c>
      <c r="W12" s="434"/>
      <c r="X12" s="440"/>
      <c r="Y12" s="441"/>
      <c r="Z12" s="442"/>
      <c r="AA12" s="442" t="s">
        <v>30</v>
      </c>
      <c r="AB12" s="443"/>
      <c r="AC12" s="443"/>
      <c r="AD12" s="444"/>
    </row>
    <row r="13" spans="1:30" ht="33" customHeight="1" x14ac:dyDescent="0.3">
      <c r="A13" s="480"/>
      <c r="B13" s="663"/>
      <c r="C13" s="646"/>
      <c r="D13" s="655"/>
      <c r="E13" s="655"/>
      <c r="F13" s="655"/>
      <c r="G13" s="656">
        <f t="shared" si="7"/>
        <v>0</v>
      </c>
      <c r="H13" s="648"/>
      <c r="I13" s="658"/>
      <c r="J13" s="648"/>
      <c r="K13" s="658"/>
      <c r="L13" s="649"/>
      <c r="M13" s="655"/>
      <c r="N13" s="660">
        <f t="shared" si="0"/>
        <v>0</v>
      </c>
      <c r="O13" s="489"/>
      <c r="P13" s="480"/>
      <c r="Q13" s="484">
        <f t="shared" si="3"/>
        <v>0</v>
      </c>
      <c r="R13" s="484">
        <f t="shared" si="4"/>
        <v>0</v>
      </c>
      <c r="S13" s="484">
        <f t="shared" si="5"/>
        <v>0</v>
      </c>
      <c r="T13" s="484">
        <f t="shared" si="1"/>
        <v>0</v>
      </c>
      <c r="U13" s="484">
        <f t="shared" si="6"/>
        <v>0</v>
      </c>
      <c r="V13" s="484">
        <f t="shared" si="2"/>
        <v>0</v>
      </c>
      <c r="W13" s="434"/>
      <c r="X13" s="445" t="s">
        <v>456</v>
      </c>
      <c r="Y13" s="446"/>
      <c r="Z13" s="447"/>
      <c r="AA13" s="447"/>
      <c r="AB13" s="448"/>
      <c r="AC13" s="448"/>
      <c r="AD13" s="449"/>
    </row>
    <row r="14" spans="1:30" ht="33" customHeight="1" x14ac:dyDescent="0.3">
      <c r="A14" s="480"/>
      <c r="B14" s="663"/>
      <c r="C14" s="646"/>
      <c r="D14" s="655"/>
      <c r="E14" s="655"/>
      <c r="F14" s="655"/>
      <c r="G14" s="656">
        <f t="shared" si="7"/>
        <v>0</v>
      </c>
      <c r="H14" s="648"/>
      <c r="I14" s="658"/>
      <c r="J14" s="648"/>
      <c r="K14" s="658"/>
      <c r="L14" s="649"/>
      <c r="M14" s="655"/>
      <c r="N14" s="660">
        <f t="shared" si="0"/>
        <v>0</v>
      </c>
      <c r="O14" s="489"/>
      <c r="P14" s="480"/>
      <c r="Q14" s="484">
        <f t="shared" si="3"/>
        <v>0</v>
      </c>
      <c r="R14" s="484">
        <f t="shared" si="4"/>
        <v>0</v>
      </c>
      <c r="S14" s="484">
        <f t="shared" si="5"/>
        <v>0</v>
      </c>
      <c r="T14" s="484">
        <f t="shared" si="1"/>
        <v>0</v>
      </c>
      <c r="U14" s="484">
        <f t="shared" si="6"/>
        <v>0</v>
      </c>
      <c r="V14" s="484">
        <f t="shared" si="2"/>
        <v>0</v>
      </c>
      <c r="W14" s="434"/>
    </row>
    <row r="15" spans="1:30" ht="33" customHeight="1" x14ac:dyDescent="0.3">
      <c r="A15" s="480"/>
      <c r="B15" s="664"/>
      <c r="C15" s="646"/>
      <c r="D15" s="657"/>
      <c r="E15" s="657"/>
      <c r="F15" s="657"/>
      <c r="G15" s="656">
        <f t="shared" si="7"/>
        <v>0</v>
      </c>
      <c r="H15" s="648"/>
      <c r="I15" s="658"/>
      <c r="J15" s="648"/>
      <c r="K15" s="658"/>
      <c r="L15" s="649"/>
      <c r="M15" s="655"/>
      <c r="N15" s="660">
        <f t="shared" si="0"/>
        <v>0</v>
      </c>
      <c r="O15" s="489"/>
      <c r="P15" s="480"/>
      <c r="Q15" s="484">
        <f t="shared" si="3"/>
        <v>0</v>
      </c>
      <c r="R15" s="484">
        <f t="shared" si="4"/>
        <v>0</v>
      </c>
      <c r="S15" s="484">
        <f t="shared" si="5"/>
        <v>0</v>
      </c>
      <c r="T15" s="484">
        <f t="shared" si="1"/>
        <v>0</v>
      </c>
      <c r="U15" s="484">
        <f t="shared" si="6"/>
        <v>0</v>
      </c>
      <c r="V15" s="484">
        <f t="shared" si="2"/>
        <v>0</v>
      </c>
      <c r="W15" s="434"/>
    </row>
    <row r="16" spans="1:30" ht="18" customHeight="1" x14ac:dyDescent="0.3">
      <c r="A16" s="480"/>
      <c r="B16" s="1262" t="s">
        <v>407</v>
      </c>
      <c r="C16" s="1263"/>
      <c r="D16" s="1263"/>
      <c r="E16" s="1263"/>
      <c r="F16" s="1264"/>
      <c r="G16" s="659">
        <f>SUM(G4:G15)</f>
        <v>8.85</v>
      </c>
      <c r="H16" s="1262" t="s">
        <v>408</v>
      </c>
      <c r="I16" s="1267"/>
      <c r="J16" s="1267"/>
      <c r="K16" s="1267"/>
      <c r="L16" s="1267"/>
      <c r="M16" s="1268"/>
      <c r="N16" s="661">
        <f>SUM(N4:N15)</f>
        <v>1.3310750000000002</v>
      </c>
      <c r="O16" s="490"/>
      <c r="P16" s="480"/>
      <c r="U16" s="428"/>
      <c r="V16" s="450"/>
      <c r="W16" s="451"/>
      <c r="X16" s="428"/>
      <c r="Y16" s="428"/>
      <c r="Z16" s="428"/>
      <c r="AA16" s="450"/>
      <c r="AB16" s="450"/>
    </row>
    <row r="17" spans="1:32" ht="6.6" customHeight="1" thickBot="1" x14ac:dyDescent="0.35">
      <c r="A17" s="480"/>
      <c r="B17" s="480"/>
      <c r="C17" s="480"/>
      <c r="D17" s="480"/>
      <c r="E17" s="480"/>
      <c r="F17" s="480"/>
      <c r="G17" s="480"/>
      <c r="H17" s="480"/>
      <c r="I17" s="480"/>
      <c r="J17" s="480"/>
      <c r="K17" s="480"/>
      <c r="L17" s="480"/>
      <c r="M17" s="480"/>
      <c r="N17" s="503"/>
      <c r="O17" s="480"/>
      <c r="P17" s="480"/>
      <c r="U17" s="428"/>
      <c r="V17" s="452" t="s">
        <v>457</v>
      </c>
      <c r="W17" s="453"/>
      <c r="X17" s="453"/>
      <c r="Y17" s="453"/>
      <c r="Z17" s="453"/>
      <c r="AA17" s="453"/>
      <c r="AB17" s="454"/>
      <c r="AC17" s="454"/>
      <c r="AD17" s="455"/>
    </row>
    <row r="18" spans="1:32" ht="18" thickBot="1" x14ac:dyDescent="0.35">
      <c r="A18" s="480"/>
      <c r="B18" s="1265" t="s">
        <v>409</v>
      </c>
      <c r="C18" s="1266"/>
      <c r="D18" s="662">
        <f>G16+N16</f>
        <v>10.181075</v>
      </c>
      <c r="E18" s="480"/>
      <c r="F18" s="480"/>
      <c r="G18" s="480"/>
      <c r="H18" s="480"/>
      <c r="I18" s="480"/>
      <c r="J18" s="480"/>
      <c r="K18" s="480"/>
      <c r="L18" s="480"/>
      <c r="M18" s="480"/>
      <c r="N18" s="503"/>
      <c r="O18" s="480"/>
      <c r="P18" s="480"/>
      <c r="Q18" s="456"/>
      <c r="U18" s="428"/>
      <c r="V18" s="457" t="s">
        <v>458</v>
      </c>
      <c r="W18" s="442"/>
      <c r="X18" s="442"/>
      <c r="Y18" s="442"/>
      <c r="Z18" s="442"/>
      <c r="AA18" s="442"/>
      <c r="AB18" s="443"/>
      <c r="AC18" s="443"/>
      <c r="AD18" s="444"/>
    </row>
    <row r="19" spans="1:32" ht="4.8" customHeight="1" x14ac:dyDescent="0.3">
      <c r="A19" s="480"/>
      <c r="B19" s="480"/>
      <c r="C19" s="480"/>
      <c r="D19" s="480"/>
      <c r="E19" s="480"/>
      <c r="F19" s="480"/>
      <c r="G19" s="480"/>
      <c r="H19" s="480"/>
      <c r="I19" s="480"/>
      <c r="J19" s="480"/>
      <c r="K19" s="480"/>
      <c r="L19" s="480"/>
      <c r="M19" s="480"/>
      <c r="N19" s="503"/>
      <c r="O19" s="480"/>
      <c r="P19" s="480"/>
      <c r="V19" s="458" t="s">
        <v>410</v>
      </c>
      <c r="W19" s="447"/>
      <c r="X19" s="447"/>
      <c r="Y19" s="447"/>
      <c r="Z19" s="459"/>
      <c r="AA19" s="459"/>
      <c r="AB19" s="447"/>
      <c r="AC19" s="447"/>
      <c r="AD19" s="460"/>
      <c r="AE19" s="450"/>
      <c r="AF19" s="450"/>
    </row>
    <row r="20" spans="1:32" hidden="1" x14ac:dyDescent="0.3">
      <c r="A20" s="627"/>
      <c r="B20" s="627"/>
      <c r="C20" s="627"/>
      <c r="D20" s="627"/>
      <c r="E20" s="627"/>
      <c r="F20" s="627"/>
      <c r="G20" s="627"/>
      <c r="H20" s="627"/>
      <c r="I20" s="627"/>
      <c r="J20" s="627"/>
      <c r="K20" s="627"/>
      <c r="L20" s="627"/>
      <c r="M20" s="627"/>
      <c r="N20" s="628"/>
      <c r="O20" s="627"/>
      <c r="P20" s="627"/>
      <c r="V20" s="428"/>
      <c r="W20" s="428"/>
      <c r="X20" s="428"/>
      <c r="Y20" s="428"/>
      <c r="Z20" s="428"/>
      <c r="AA20" s="428"/>
      <c r="AB20" s="428"/>
      <c r="AD20" s="428"/>
      <c r="AE20" s="450"/>
      <c r="AF20" s="450"/>
    </row>
    <row r="21" spans="1:32" ht="18" hidden="1" x14ac:dyDescent="0.35">
      <c r="A21" s="627"/>
      <c r="B21" s="627"/>
      <c r="C21" s="629"/>
      <c r="D21" s="627"/>
      <c r="E21" s="627"/>
      <c r="F21" s="627"/>
      <c r="G21" s="627"/>
      <c r="H21" s="627"/>
      <c r="I21" s="627"/>
      <c r="J21" s="627"/>
      <c r="K21" s="627"/>
      <c r="L21" s="627"/>
      <c r="M21" s="627"/>
      <c r="N21" s="628"/>
      <c r="O21" s="627"/>
      <c r="P21" s="627"/>
      <c r="Q21" s="461"/>
      <c r="R21" s="454"/>
      <c r="S21" s="454"/>
      <c r="T21" s="455"/>
      <c r="U21" s="461"/>
      <c r="V21" s="453"/>
      <c r="W21" s="453"/>
      <c r="X21" s="453"/>
      <c r="Y21" s="453"/>
      <c r="Z21" s="453"/>
      <c r="AA21" s="462" t="s">
        <v>459</v>
      </c>
      <c r="AB21" s="453"/>
      <c r="AC21" s="463"/>
      <c r="AD21" s="464"/>
      <c r="AE21" s="428"/>
      <c r="AF21" s="428"/>
    </row>
    <row r="22" spans="1:32" hidden="1" x14ac:dyDescent="0.3">
      <c r="A22" s="627"/>
      <c r="B22" s="627"/>
      <c r="C22" s="627"/>
      <c r="D22" s="627"/>
      <c r="E22" s="627"/>
      <c r="F22" s="627"/>
      <c r="G22" s="630"/>
      <c r="H22" s="631"/>
      <c r="I22" s="631"/>
      <c r="J22" s="631"/>
      <c r="K22" s="631"/>
      <c r="L22" s="631"/>
      <c r="M22" s="631"/>
      <c r="N22" s="627"/>
      <c r="O22" s="627"/>
      <c r="P22" s="627"/>
      <c r="Q22" s="465" t="s">
        <v>411</v>
      </c>
      <c r="R22" s="466"/>
      <c r="S22" s="466"/>
      <c r="T22" s="467"/>
      <c r="U22" s="468" t="s">
        <v>460</v>
      </c>
      <c r="V22" s="466"/>
      <c r="W22" s="466"/>
      <c r="X22" s="469"/>
      <c r="Y22" s="469"/>
      <c r="Z22" s="469"/>
      <c r="AA22" s="470" t="s">
        <v>412</v>
      </c>
      <c r="AB22" s="470" t="s">
        <v>413</v>
      </c>
      <c r="AC22" s="471" t="s">
        <v>414</v>
      </c>
      <c r="AD22" s="472"/>
      <c r="AE22" s="428"/>
      <c r="AF22" s="428"/>
    </row>
    <row r="23" spans="1:32" hidden="1" x14ac:dyDescent="0.3">
      <c r="A23" s="627"/>
      <c r="B23" s="627"/>
      <c r="C23" s="627"/>
      <c r="D23" s="627"/>
      <c r="E23" s="627"/>
      <c r="F23" s="627"/>
      <c r="G23" s="631"/>
      <c r="H23" s="631"/>
      <c r="I23" s="631"/>
      <c r="J23" s="627"/>
      <c r="K23" s="627"/>
      <c r="L23" s="631"/>
      <c r="M23" s="631"/>
      <c r="N23" s="627"/>
      <c r="O23" s="627"/>
      <c r="P23" s="627"/>
      <c r="Q23" s="440" t="s">
        <v>406</v>
      </c>
      <c r="R23" s="441"/>
      <c r="S23" s="441"/>
      <c r="T23" s="473"/>
      <c r="U23" s="625" t="str">
        <f>'Lists and Arrays'!V5</f>
        <v>None</v>
      </c>
      <c r="V23" s="441"/>
      <c r="W23" s="441" t="s">
        <v>84</v>
      </c>
      <c r="X23" s="442"/>
      <c r="Y23" s="442"/>
      <c r="Z23" s="442"/>
      <c r="AA23" s="474">
        <v>0</v>
      </c>
      <c r="AB23" s="474">
        <v>0</v>
      </c>
      <c r="AC23" s="475">
        <v>0</v>
      </c>
      <c r="AD23" s="476"/>
      <c r="AE23" s="428"/>
      <c r="AF23" s="428"/>
    </row>
    <row r="24" spans="1:32" hidden="1" x14ac:dyDescent="0.3">
      <c r="A24" s="627"/>
      <c r="B24" s="627"/>
      <c r="C24" s="627"/>
      <c r="D24" s="627"/>
      <c r="E24" s="627"/>
      <c r="F24" s="627"/>
      <c r="G24" s="632"/>
      <c r="H24" s="632"/>
      <c r="I24" s="632"/>
      <c r="J24" s="627"/>
      <c r="K24" s="627"/>
      <c r="L24" s="632"/>
      <c r="M24" s="632"/>
      <c r="N24" s="627"/>
      <c r="O24" s="627"/>
      <c r="P24" s="627"/>
      <c r="Q24" s="440" t="s">
        <v>74</v>
      </c>
      <c r="R24" s="441"/>
      <c r="S24" s="441"/>
      <c r="T24" s="473"/>
      <c r="U24" s="625" t="str">
        <f>'Lists and Arrays'!V6</f>
        <v>Preservation</v>
      </c>
      <c r="V24" s="441"/>
      <c r="W24" s="441" t="s">
        <v>73</v>
      </c>
      <c r="X24" s="441"/>
      <c r="Y24" s="443"/>
      <c r="Z24" s="441"/>
      <c r="AA24" s="474">
        <v>0.1</v>
      </c>
      <c r="AB24" s="474">
        <v>0.05</v>
      </c>
      <c r="AC24" s="475">
        <v>2.5000000000000001E-2</v>
      </c>
      <c r="AD24" s="444"/>
      <c r="AE24" s="428"/>
      <c r="AF24" s="428"/>
    </row>
    <row r="25" spans="1:32" hidden="1" x14ac:dyDescent="0.3">
      <c r="A25" s="627"/>
      <c r="B25" s="627"/>
      <c r="C25" s="627"/>
      <c r="D25" s="627"/>
      <c r="E25" s="627"/>
      <c r="F25" s="627"/>
      <c r="G25" s="632"/>
      <c r="H25" s="632"/>
      <c r="I25" s="632"/>
      <c r="J25" s="627"/>
      <c r="K25" s="627"/>
      <c r="L25" s="632"/>
      <c r="M25" s="632"/>
      <c r="N25" s="627"/>
      <c r="O25" s="627"/>
      <c r="P25" s="627"/>
      <c r="Q25" s="440" t="s">
        <v>75</v>
      </c>
      <c r="R25" s="441"/>
      <c r="S25" s="441"/>
      <c r="T25" s="473"/>
      <c r="U25" s="625" t="str">
        <f>'Lists and Arrays'!V7</f>
        <v>Preservation &amp; Supplemental Planting</v>
      </c>
      <c r="V25" s="441"/>
      <c r="W25" s="441" t="s">
        <v>83</v>
      </c>
      <c r="X25" s="441"/>
      <c r="Y25" s="443"/>
      <c r="Z25" s="441"/>
      <c r="AA25" s="474">
        <v>0.14000000000000001</v>
      </c>
      <c r="AB25" s="474">
        <v>7.0000000000000007E-2</v>
      </c>
      <c r="AC25" s="475">
        <v>3.5000000000000003E-2</v>
      </c>
      <c r="AD25" s="444"/>
      <c r="AE25" s="428"/>
      <c r="AF25" s="428"/>
    </row>
    <row r="26" spans="1:32" hidden="1" x14ac:dyDescent="0.3">
      <c r="A26" s="627"/>
      <c r="B26" s="627"/>
      <c r="C26" s="627"/>
      <c r="D26" s="627"/>
      <c r="E26" s="627"/>
      <c r="F26" s="627"/>
      <c r="G26" s="632"/>
      <c r="H26" s="632"/>
      <c r="I26" s="632"/>
      <c r="J26" s="627"/>
      <c r="K26" s="627"/>
      <c r="L26" s="632"/>
      <c r="M26" s="632"/>
      <c r="N26" s="627"/>
      <c r="O26" s="627"/>
      <c r="P26" s="627"/>
      <c r="Q26" s="445" t="s">
        <v>73</v>
      </c>
      <c r="R26" s="446"/>
      <c r="S26" s="446"/>
      <c r="T26" s="477"/>
      <c r="U26" s="626" t="str">
        <f>'Lists and Arrays'!V8</f>
        <v>Preservation &amp; Re-vegetation</v>
      </c>
      <c r="V26" s="446"/>
      <c r="W26" s="446" t="s">
        <v>82</v>
      </c>
      <c r="X26" s="446"/>
      <c r="Y26" s="448"/>
      <c r="Z26" s="446"/>
      <c r="AA26" s="478">
        <v>0.17499999999999999</v>
      </c>
      <c r="AB26" s="478">
        <v>8.7499999999999994E-2</v>
      </c>
      <c r="AC26" s="479">
        <v>4.3749999999999997E-2</v>
      </c>
      <c r="AD26" s="449"/>
      <c r="AE26" s="428"/>
      <c r="AF26" s="428"/>
    </row>
    <row r="27" spans="1:32" hidden="1" x14ac:dyDescent="0.3">
      <c r="A27" s="627"/>
      <c r="B27" s="627"/>
      <c r="C27" s="627"/>
      <c r="D27" s="627"/>
      <c r="E27" s="627"/>
      <c r="F27" s="627"/>
      <c r="G27" s="633"/>
      <c r="H27" s="630"/>
      <c r="I27" s="630"/>
      <c r="J27" s="630"/>
      <c r="K27" s="630"/>
      <c r="L27" s="630"/>
      <c r="M27" s="630"/>
      <c r="N27" s="627"/>
      <c r="O27" s="627"/>
      <c r="P27" s="627"/>
      <c r="Q27" s="434"/>
      <c r="R27" s="434"/>
      <c r="S27" s="434"/>
      <c r="T27" s="434"/>
      <c r="U27" s="434"/>
      <c r="V27" s="434"/>
      <c r="W27" s="434"/>
      <c r="X27" s="434"/>
      <c r="Z27" s="434"/>
      <c r="AA27" s="434"/>
      <c r="AB27" s="434"/>
      <c r="AC27" s="434"/>
      <c r="AD27" s="434"/>
    </row>
    <row r="28" spans="1:32" hidden="1" x14ac:dyDescent="0.3">
      <c r="A28" s="627"/>
      <c r="B28" s="627"/>
      <c r="C28" s="627"/>
      <c r="D28" s="627"/>
      <c r="E28" s="627"/>
      <c r="F28" s="627"/>
      <c r="G28" s="627"/>
      <c r="H28" s="627"/>
      <c r="I28" s="627"/>
      <c r="J28" s="627"/>
      <c r="K28" s="627"/>
      <c r="L28" s="627"/>
      <c r="M28" s="627"/>
      <c r="N28" s="627"/>
      <c r="O28" s="627"/>
      <c r="P28" s="627"/>
    </row>
  </sheetData>
  <sheetProtection algorithmName="SHA-512" hashValue="RKx4J1gVFgKl73p1O4Izj65h8VZ1RVOSrghysjdSodsAREEWMzoN+NonsY4MY95iHWtGoCtarpu7zo1m0J6hag==" saltValue="ZHgMqgyJ4friRaUnV8Q6qw==" spinCount="100000" sheet="1" objects="1" scenarios="1"/>
  <mergeCells count="4">
    <mergeCell ref="B2:G2"/>
    <mergeCell ref="B16:F16"/>
    <mergeCell ref="B18:C18"/>
    <mergeCell ref="H16:M16"/>
  </mergeCells>
  <conditionalFormatting sqref="C4:C15">
    <cfRule type="containsText" dxfId="6" priority="1" operator="containsText" text="Preservation">
      <formula>NOT(ISERROR(SEARCH("Preservation",C4)))</formula>
    </cfRule>
  </conditionalFormatting>
  <dataValidations disablePrompts="1" count="3">
    <dataValidation type="decimal" allowBlank="1" showInputMessage="1" showErrorMessage="1" error="Enter a value from 0 to 1." sqref="I4:I15 M4:M15 K4:K15" xr:uid="{A042E631-A4AE-418C-B23C-B2676935CFE7}">
      <formula1>0</formula1>
      <formula2>1</formula2>
    </dataValidation>
    <dataValidation type="list" allowBlank="1" showInputMessage="1" showErrorMessage="1" sqref="C4:C15" xr:uid="{A4480593-B2EE-40A3-93A2-87C9DCD2B631}">
      <formula1>$Q$23:$Q$26</formula1>
    </dataValidation>
    <dataValidation type="list" allowBlank="1" showInputMessage="1" showErrorMessage="1" errorTitle="Mitigation Type Error" error="Enter a value from the list." sqref="L4:L15 J4:J15 H5:H15 H4" xr:uid="{E442DDD3-6188-4490-8312-0C716A638E98}">
      <formula1>$U$23:$U$26</formula1>
    </dataValidation>
  </dataValidations>
  <pageMargins left="0.7" right="0.7" top="0.75" bottom="0.75" header="0.3" footer="0.3"/>
  <pageSetup orientation="landscape" r:id="rId1"/>
  <headerFooter>
    <oddHeader>&amp;C&amp;"-,Bold"Wetlands Part III&amp;"-,Regular"
&amp;9West Virginia Stream and Wetland Valuation Metric (SWVM) 7-30-24, Adapted from Version 12-02-2022 wetlands working 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70BFC0753F4F4A9AD90ED033FDA3BB" ma:contentTypeVersion="6" ma:contentTypeDescription="Create a new document." ma:contentTypeScope="" ma:versionID="9f6cb3bebdc6d9cc6d183317c023c80a">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85DB65E-012B-42BD-B11F-26912D6585F3}"/>
</file>

<file path=customXml/itemProps2.xml><?xml version="1.0" encoding="utf-8"?>
<ds:datastoreItem xmlns:ds="http://schemas.openxmlformats.org/officeDocument/2006/customXml" ds:itemID="{74C334B2-32F9-450A-B05E-A743BF2E4834}"/>
</file>

<file path=customXml/itemProps3.xml><?xml version="1.0" encoding="utf-8"?>
<ds:datastoreItem xmlns:ds="http://schemas.openxmlformats.org/officeDocument/2006/customXml" ds:itemID="{DB9CE5C9-9E30-4EC9-981D-FE64108E7E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Sheet2</vt:lpstr>
      <vt:lpstr>Instructions</vt:lpstr>
      <vt:lpstr>Stream Parts I-II</vt:lpstr>
      <vt:lpstr>Sheet1</vt:lpstr>
      <vt:lpstr>Lists and Arrays</vt:lpstr>
      <vt:lpstr>Stream Parts III-VI</vt:lpstr>
      <vt:lpstr>Multiple Site Unit Comparison</vt:lpstr>
      <vt:lpstr>Wetlands Parts I-II</vt:lpstr>
      <vt:lpstr>Wetland Part III-Credits</vt:lpstr>
      <vt:lpstr>Wetland Parts IV-V</vt:lpstr>
      <vt:lpstr>code</vt:lpstr>
      <vt:lpstr>Instructions!_ftnref1</vt:lpstr>
      <vt:lpstr>AquaticLifeUse</vt:lpstr>
      <vt:lpstr>Ecoregions</vt:lpstr>
      <vt:lpstr>HGM</vt:lpstr>
      <vt:lpstr>HGMSubclasses</vt:lpstr>
      <vt:lpstr>LongTermProtection</vt:lpstr>
      <vt:lpstr>MacroinvertNarrAssess</vt:lpstr>
      <vt:lpstr>neg3to12</vt:lpstr>
      <vt:lpstr>Instructions!OLE_LINK7</vt:lpstr>
      <vt:lpstr>PoolDepth</vt:lpstr>
      <vt:lpstr>Instructions!Print_Area</vt:lpstr>
      <vt:lpstr>'Multiple Site Unit Comparison'!Print_Area</vt:lpstr>
      <vt:lpstr>'Stream Parts I-II'!Print_Titles</vt:lpstr>
      <vt:lpstr>RBPQHEIDropdown</vt:lpstr>
      <vt:lpstr>RPBDataSheet</vt:lpstr>
      <vt:lpstr>StreamClass</vt:lpstr>
      <vt:lpstr>StreamClass1</vt:lpstr>
      <vt:lpstr>TempLossConstruction</vt:lpstr>
      <vt:lpstr>TempLossMaturity</vt:lpstr>
      <vt:lpstr>ToEight</vt:lpstr>
      <vt:lpstr>ToForty</vt:lpstr>
      <vt:lpstr>ToTen</vt:lpstr>
      <vt:lpstr>ToThirty</vt:lpstr>
      <vt:lpstr>ToTwelve</vt:lpstr>
      <vt:lpstr>YesOrNo</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h1orxmeh</dc:creator>
  <cp:lastModifiedBy>Murray, Elizabeth O CIV USARMY CESPN (USA)</cp:lastModifiedBy>
  <cp:lastPrinted>2023-07-10T18:26:17Z</cp:lastPrinted>
  <dcterms:created xsi:type="dcterms:W3CDTF">2009-03-03T14:17:58Z</dcterms:created>
  <dcterms:modified xsi:type="dcterms:W3CDTF">2024-07-30T17:13:01Z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0x0101003170BFC0753F4F4A9AD90ED033FDA3BB</vt:lpwstr>
  </property>
</Properties>
</file>